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tc.000\Desktop\UN Macedonia\training materials\training\"/>
    </mc:Choice>
  </mc:AlternateContent>
  <xr:revisionPtr revIDLastSave="0" documentId="13_ncr:1_{63D38011-A6BA-450E-9655-58E7C5FBA03A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nominal" sheetId="1" r:id="rId1"/>
    <sheet name="APR" sheetId="2" r:id="rId2"/>
    <sheet name="compound" sheetId="4" r:id="rId3"/>
    <sheet name="discount" sheetId="7" r:id="rId4"/>
    <sheet name="mortgage" sheetId="6" r:id="rId5"/>
    <sheet name="all" sheetId="3" r:id="rId6"/>
    <sheet name="payday" sheetId="9" r:id="rId7"/>
    <sheet name="credit card" sheetId="10" r:id="rId8"/>
    <sheet name="Self amortising" sheetId="11" r:id="rId9"/>
    <sheet name="equity returns" sheetId="13" r:id="rId10"/>
    <sheet name="interest only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1" l="1"/>
  <c r="C22" i="11"/>
  <c r="D24" i="11"/>
  <c r="E23" i="11"/>
  <c r="D25" i="11"/>
  <c r="E24" i="11"/>
  <c r="E26" i="11"/>
  <c r="F23" i="11"/>
  <c r="E25" i="11"/>
  <c r="F24" i="11"/>
  <c r="F26" i="11"/>
  <c r="G23" i="11"/>
  <c r="F25" i="11"/>
  <c r="G24" i="11"/>
  <c r="G26" i="11"/>
  <c r="H23" i="11"/>
  <c r="G25" i="11"/>
  <c r="H24" i="11"/>
  <c r="H26" i="11"/>
  <c r="I23" i="11"/>
  <c r="H25" i="11"/>
  <c r="I24" i="11"/>
  <c r="I26" i="11"/>
  <c r="J23" i="11"/>
  <c r="I25" i="11"/>
  <c r="J24" i="11"/>
  <c r="J26" i="11"/>
  <c r="K23" i="11"/>
  <c r="J25" i="11"/>
  <c r="K24" i="11"/>
  <c r="K26" i="11"/>
  <c r="L23" i="11"/>
  <c r="K25" i="11"/>
  <c r="L24" i="11"/>
  <c r="L26" i="11"/>
  <c r="M23" i="11"/>
  <c r="L25" i="11"/>
  <c r="M24" i="11"/>
  <c r="M26" i="11"/>
  <c r="N23" i="11"/>
  <c r="M25" i="11"/>
  <c r="N24" i="11"/>
  <c r="N26" i="11"/>
  <c r="O23" i="11"/>
  <c r="N25" i="11"/>
  <c r="O24" i="11"/>
  <c r="O26" i="11"/>
  <c r="P23" i="11"/>
  <c r="O25" i="11"/>
  <c r="P24" i="11"/>
  <c r="P26" i="11"/>
  <c r="Q23" i="11"/>
  <c r="P25" i="11"/>
  <c r="Q24" i="11"/>
  <c r="Q26" i="11"/>
  <c r="R23" i="11"/>
  <c r="Q25" i="11"/>
  <c r="R24" i="11"/>
  <c r="R26" i="11"/>
  <c r="D26" i="11"/>
  <c r="R25" i="11"/>
  <c r="T25" i="11"/>
  <c r="B16" i="6"/>
  <c r="B17" i="6"/>
  <c r="N16" i="14"/>
  <c r="O16" i="14"/>
  <c r="P16" i="14"/>
  <c r="Q16" i="14"/>
  <c r="R16" i="14"/>
  <c r="E15" i="14"/>
  <c r="F15" i="14"/>
  <c r="G15" i="14"/>
  <c r="H15" i="14"/>
  <c r="I15" i="14"/>
  <c r="J15" i="14"/>
  <c r="K15" i="14"/>
  <c r="L15" i="14"/>
  <c r="N15" i="14"/>
  <c r="O15" i="14"/>
  <c r="P15" i="14"/>
  <c r="Q15" i="14"/>
  <c r="R15" i="14"/>
  <c r="D15" i="14"/>
  <c r="C13" i="14"/>
  <c r="B15" i="6"/>
  <c r="B14" i="6"/>
  <c r="B18" i="6" s="1"/>
  <c r="B23" i="6"/>
  <c r="B9" i="6"/>
  <c r="S69" i="13"/>
  <c r="R69" i="13"/>
  <c r="Q69" i="13"/>
  <c r="P69" i="13"/>
  <c r="O69" i="13"/>
  <c r="N69" i="13"/>
  <c r="M69" i="13"/>
  <c r="L69" i="13"/>
  <c r="K55" i="13"/>
  <c r="K57" i="13"/>
  <c r="D50" i="13"/>
  <c r="D53" i="13"/>
  <c r="K58" i="13"/>
  <c r="K69" i="13"/>
  <c r="J55" i="13"/>
  <c r="J57" i="13"/>
  <c r="J58" i="13"/>
  <c r="J69" i="13"/>
  <c r="I55" i="13"/>
  <c r="I57" i="13"/>
  <c r="I58" i="13"/>
  <c r="I69" i="13"/>
  <c r="H55" i="13"/>
  <c r="H57" i="13"/>
  <c r="H58" i="13"/>
  <c r="H69" i="13"/>
  <c r="G55" i="13"/>
  <c r="G57" i="13"/>
  <c r="G58" i="13"/>
  <c r="G69" i="13"/>
  <c r="F55" i="13"/>
  <c r="F57" i="13"/>
  <c r="F58" i="13"/>
  <c r="F69" i="13"/>
  <c r="E55" i="13"/>
  <c r="E57" i="13"/>
  <c r="E58" i="13"/>
  <c r="E69" i="13"/>
  <c r="D61" i="13"/>
  <c r="E59" i="13"/>
  <c r="E61" i="13"/>
  <c r="F59" i="13"/>
  <c r="F61" i="13"/>
  <c r="G59" i="13"/>
  <c r="G61" i="13"/>
  <c r="H59" i="13"/>
  <c r="H61" i="13"/>
  <c r="I59" i="13"/>
  <c r="I61" i="13"/>
  <c r="J59" i="13"/>
  <c r="J61" i="13"/>
  <c r="K59" i="13"/>
  <c r="K61" i="13"/>
  <c r="L55" i="13"/>
  <c r="L57" i="13"/>
  <c r="L58" i="13"/>
  <c r="L59" i="13"/>
  <c r="L61" i="13"/>
  <c r="M55" i="13"/>
  <c r="M57" i="13"/>
  <c r="M58" i="13"/>
  <c r="M59" i="13"/>
  <c r="M61" i="13"/>
  <c r="N55" i="13"/>
  <c r="N57" i="13"/>
  <c r="N58" i="13"/>
  <c r="N59" i="13"/>
  <c r="N61" i="13"/>
  <c r="O55" i="13"/>
  <c r="O57" i="13"/>
  <c r="O58" i="13"/>
  <c r="O59" i="13"/>
  <c r="O61" i="13"/>
  <c r="P55" i="13"/>
  <c r="P57" i="13"/>
  <c r="P58" i="13"/>
  <c r="P59" i="13"/>
  <c r="P61" i="13"/>
  <c r="Q55" i="13"/>
  <c r="Q57" i="13"/>
  <c r="Q58" i="13"/>
  <c r="Q59" i="13"/>
  <c r="Q61" i="13"/>
  <c r="R55" i="13"/>
  <c r="R57" i="13"/>
  <c r="R58" i="13"/>
  <c r="R59" i="13"/>
  <c r="R61" i="13"/>
  <c r="S55" i="13"/>
  <c r="S57" i="13"/>
  <c r="S58" i="13"/>
  <c r="S59" i="13"/>
  <c r="S61" i="13"/>
  <c r="D68" i="13"/>
  <c r="S65" i="13"/>
  <c r="S67" i="13"/>
  <c r="R65" i="13"/>
  <c r="R67" i="13"/>
  <c r="Q65" i="13"/>
  <c r="Q67" i="13"/>
  <c r="P65" i="13"/>
  <c r="P67" i="13"/>
  <c r="O65" i="13"/>
  <c r="O67" i="13"/>
  <c r="N65" i="13"/>
  <c r="N67" i="13"/>
  <c r="M65" i="13"/>
  <c r="M67" i="13"/>
  <c r="L65" i="13"/>
  <c r="L67" i="13"/>
  <c r="K65" i="13"/>
  <c r="K67" i="13"/>
  <c r="J65" i="13"/>
  <c r="J67" i="13"/>
  <c r="I65" i="13"/>
  <c r="I67" i="13"/>
  <c r="H65" i="13"/>
  <c r="H67" i="13"/>
  <c r="G65" i="13"/>
  <c r="G67" i="13"/>
  <c r="F65" i="13"/>
  <c r="F67" i="13"/>
  <c r="E65" i="13"/>
  <c r="E67" i="13"/>
  <c r="D67" i="13"/>
  <c r="D65" i="13"/>
  <c r="D66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D62" i="13"/>
  <c r="S47" i="13"/>
  <c r="R47" i="13"/>
  <c r="Q47" i="13"/>
  <c r="P47" i="13"/>
  <c r="O47" i="13"/>
  <c r="N47" i="13"/>
  <c r="M47" i="13"/>
  <c r="L47" i="13"/>
  <c r="K33" i="13"/>
  <c r="K35" i="13"/>
  <c r="D31" i="13"/>
  <c r="K36" i="13"/>
  <c r="K47" i="13"/>
  <c r="J33" i="13"/>
  <c r="J35" i="13"/>
  <c r="J36" i="13"/>
  <c r="J47" i="13"/>
  <c r="I33" i="13"/>
  <c r="I35" i="13"/>
  <c r="I36" i="13"/>
  <c r="I47" i="13"/>
  <c r="H33" i="13"/>
  <c r="H35" i="13"/>
  <c r="H36" i="13"/>
  <c r="H47" i="13"/>
  <c r="G33" i="13"/>
  <c r="G35" i="13"/>
  <c r="G36" i="13"/>
  <c r="G47" i="13"/>
  <c r="F33" i="13"/>
  <c r="F35" i="13"/>
  <c r="F36" i="13"/>
  <c r="F47" i="13"/>
  <c r="E33" i="13"/>
  <c r="E35" i="13"/>
  <c r="E36" i="13"/>
  <c r="E47" i="13"/>
  <c r="D39" i="13"/>
  <c r="E37" i="13"/>
  <c r="E39" i="13"/>
  <c r="F37" i="13"/>
  <c r="F39" i="13"/>
  <c r="G37" i="13"/>
  <c r="G39" i="13"/>
  <c r="H37" i="13"/>
  <c r="H39" i="13"/>
  <c r="I37" i="13"/>
  <c r="I39" i="13"/>
  <c r="J37" i="13"/>
  <c r="J39" i="13"/>
  <c r="K37" i="13"/>
  <c r="K39" i="13"/>
  <c r="L33" i="13"/>
  <c r="L35" i="13"/>
  <c r="L36" i="13"/>
  <c r="L37" i="13"/>
  <c r="L39" i="13"/>
  <c r="M33" i="13"/>
  <c r="M35" i="13"/>
  <c r="M36" i="13"/>
  <c r="M37" i="13"/>
  <c r="M39" i="13"/>
  <c r="N33" i="13"/>
  <c r="N35" i="13"/>
  <c r="N36" i="13"/>
  <c r="N37" i="13"/>
  <c r="N39" i="13"/>
  <c r="O33" i="13"/>
  <c r="O35" i="13"/>
  <c r="O36" i="13"/>
  <c r="O37" i="13"/>
  <c r="O39" i="13"/>
  <c r="P33" i="13"/>
  <c r="P35" i="13"/>
  <c r="P36" i="13"/>
  <c r="P37" i="13"/>
  <c r="P39" i="13"/>
  <c r="Q33" i="13"/>
  <c r="Q35" i="13"/>
  <c r="Q36" i="13"/>
  <c r="Q37" i="13"/>
  <c r="Q39" i="13"/>
  <c r="R33" i="13"/>
  <c r="R35" i="13"/>
  <c r="R36" i="13"/>
  <c r="R37" i="13"/>
  <c r="R39" i="13"/>
  <c r="S33" i="13"/>
  <c r="S35" i="13"/>
  <c r="S36" i="13"/>
  <c r="S37" i="13"/>
  <c r="S39" i="13"/>
  <c r="D46" i="13"/>
  <c r="S43" i="13"/>
  <c r="S45" i="13"/>
  <c r="R43" i="13"/>
  <c r="R45" i="13"/>
  <c r="Q43" i="13"/>
  <c r="Q45" i="13"/>
  <c r="P43" i="13"/>
  <c r="P45" i="13"/>
  <c r="O43" i="13"/>
  <c r="O45" i="13"/>
  <c r="N43" i="13"/>
  <c r="N45" i="13"/>
  <c r="M43" i="13"/>
  <c r="M45" i="13"/>
  <c r="L43" i="13"/>
  <c r="L45" i="13"/>
  <c r="K43" i="13"/>
  <c r="K45" i="13"/>
  <c r="J43" i="13"/>
  <c r="J45" i="13"/>
  <c r="I43" i="13"/>
  <c r="I45" i="13"/>
  <c r="H43" i="13"/>
  <c r="H45" i="13"/>
  <c r="G43" i="13"/>
  <c r="G45" i="13"/>
  <c r="F43" i="13"/>
  <c r="F45" i="13"/>
  <c r="E43" i="13"/>
  <c r="E45" i="13"/>
  <c r="D45" i="13"/>
  <c r="D43" i="13"/>
  <c r="D44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D40" i="13"/>
  <c r="D17" i="13"/>
  <c r="D5" i="13"/>
  <c r="E13" i="13"/>
  <c r="D6" i="13"/>
  <c r="E14" i="13"/>
  <c r="E15" i="13"/>
  <c r="E17" i="13"/>
  <c r="F13" i="13"/>
  <c r="F14" i="13"/>
  <c r="F15" i="13"/>
  <c r="F17" i="13"/>
  <c r="G13" i="13"/>
  <c r="G14" i="13"/>
  <c r="G15" i="13"/>
  <c r="G17" i="13"/>
  <c r="H13" i="13"/>
  <c r="H14" i="13"/>
  <c r="H15" i="13"/>
  <c r="H17" i="13"/>
  <c r="I13" i="13"/>
  <c r="I14" i="13"/>
  <c r="I15" i="13"/>
  <c r="I17" i="13"/>
  <c r="J13" i="13"/>
  <c r="J14" i="13"/>
  <c r="J15" i="13"/>
  <c r="J17" i="13"/>
  <c r="K13" i="13"/>
  <c r="K14" i="13"/>
  <c r="K15" i="13"/>
  <c r="K17" i="13"/>
  <c r="L13" i="13"/>
  <c r="L14" i="13"/>
  <c r="L15" i="13"/>
  <c r="L17" i="13"/>
  <c r="M13" i="13"/>
  <c r="M14" i="13"/>
  <c r="M15" i="13"/>
  <c r="M17" i="13"/>
  <c r="N13" i="13"/>
  <c r="N14" i="13"/>
  <c r="N15" i="13"/>
  <c r="N17" i="13"/>
  <c r="O13" i="13"/>
  <c r="O14" i="13"/>
  <c r="O15" i="13"/>
  <c r="O17" i="13"/>
  <c r="P13" i="13"/>
  <c r="P14" i="13"/>
  <c r="P15" i="13"/>
  <c r="P17" i="13"/>
  <c r="Q13" i="13"/>
  <c r="Q14" i="13"/>
  <c r="Q15" i="13"/>
  <c r="Q17" i="13"/>
  <c r="R13" i="13"/>
  <c r="R14" i="13"/>
  <c r="R15" i="13"/>
  <c r="R17" i="13"/>
  <c r="S13" i="13"/>
  <c r="S14" i="13"/>
  <c r="S15" i="13"/>
  <c r="S17" i="13"/>
  <c r="D24" i="13"/>
  <c r="S21" i="13"/>
  <c r="S23" i="13"/>
  <c r="R21" i="13"/>
  <c r="R23" i="13"/>
  <c r="Q21" i="13"/>
  <c r="Q23" i="13"/>
  <c r="P21" i="13"/>
  <c r="P23" i="13"/>
  <c r="O21" i="13"/>
  <c r="O23" i="13"/>
  <c r="N21" i="13"/>
  <c r="N23" i="13"/>
  <c r="M21" i="13"/>
  <c r="M23" i="13"/>
  <c r="L21" i="13"/>
  <c r="L23" i="13"/>
  <c r="K21" i="13"/>
  <c r="K23" i="13"/>
  <c r="J21" i="13"/>
  <c r="J23" i="13"/>
  <c r="I21" i="13"/>
  <c r="I23" i="13"/>
  <c r="H21" i="13"/>
  <c r="H23" i="13"/>
  <c r="G21" i="13"/>
  <c r="G23" i="13"/>
  <c r="F21" i="13"/>
  <c r="F23" i="13"/>
  <c r="E21" i="13"/>
  <c r="E23" i="13"/>
  <c r="D23" i="13"/>
  <c r="D21" i="13"/>
  <c r="D22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D18" i="13"/>
  <c r="T26" i="11"/>
  <c r="T23" i="11"/>
  <c r="D28" i="11"/>
  <c r="B22" i="3"/>
  <c r="C15" i="1"/>
  <c r="C30" i="10"/>
  <c r="C24" i="10"/>
  <c r="E7" i="10"/>
  <c r="G6" i="10"/>
  <c r="E6" i="10"/>
  <c r="G7" i="10"/>
  <c r="C13" i="10"/>
  <c r="C7" i="9"/>
  <c r="C9" i="9"/>
  <c r="E5" i="9"/>
  <c r="F8" i="7"/>
  <c r="F37" i="7"/>
  <c r="C7" i="1"/>
  <c r="C8" i="2"/>
  <c r="C7" i="4"/>
  <c r="F19" i="7"/>
  <c r="P19" i="7"/>
  <c r="P20" i="7"/>
  <c r="P21" i="7"/>
  <c r="P22" i="7"/>
  <c r="P23" i="7"/>
  <c r="P24" i="7"/>
  <c r="P25" i="7"/>
  <c r="P26" i="7"/>
  <c r="P27" i="7"/>
  <c r="P28" i="7"/>
  <c r="F29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B7" i="3"/>
  <c r="F8" i="3"/>
  <c r="B14" i="3"/>
  <c r="F15" i="3"/>
  <c r="F16" i="3"/>
  <c r="F25" i="3"/>
  <c r="D30" i="10" l="1"/>
  <c r="D24" i="10"/>
  <c r="D25" i="10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C23" i="6"/>
  <c r="D24" i="6" s="1"/>
  <c r="C24" i="6"/>
  <c r="D22" i="6"/>
  <c r="D25" i="6" s="1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C22" i="6"/>
  <c r="E16" i="14"/>
  <c r="F16" i="14"/>
  <c r="G16" i="14"/>
  <c r="H16" i="14"/>
  <c r="I16" i="14"/>
  <c r="J16" i="14"/>
  <c r="K16" i="14"/>
  <c r="L16" i="14"/>
  <c r="M16" i="14"/>
  <c r="D16" i="14"/>
  <c r="S16" i="14" s="1"/>
  <c r="C18" i="14" s="1"/>
  <c r="M15" i="14"/>
  <c r="C25" i="6" l="1"/>
  <c r="AC22" i="6"/>
  <c r="AA24" i="6"/>
  <c r="AA25" i="6" s="1"/>
  <c r="Z24" i="6"/>
  <c r="Z25" i="6" s="1"/>
  <c r="Y24" i="6"/>
  <c r="Y25" i="6" s="1"/>
  <c r="X24" i="6"/>
  <c r="X25" i="6" s="1"/>
  <c r="W24" i="6"/>
  <c r="W25" i="6" s="1"/>
  <c r="V24" i="6"/>
  <c r="V25" i="6" s="1"/>
  <c r="U24" i="6"/>
  <c r="U25" i="6" s="1"/>
  <c r="T24" i="6"/>
  <c r="T25" i="6" s="1"/>
  <c r="S24" i="6"/>
  <c r="S25" i="6" s="1"/>
  <c r="R24" i="6"/>
  <c r="R25" i="6" s="1"/>
  <c r="Q24" i="6"/>
  <c r="Q25" i="6" s="1"/>
  <c r="P24" i="6"/>
  <c r="P25" i="6" s="1"/>
  <c r="O24" i="6"/>
  <c r="O25" i="6" s="1"/>
  <c r="N24" i="6"/>
  <c r="N25" i="6" s="1"/>
  <c r="M24" i="6"/>
  <c r="M25" i="6" s="1"/>
  <c r="L24" i="6"/>
  <c r="L25" i="6" s="1"/>
  <c r="K24" i="6"/>
  <c r="K25" i="6" s="1"/>
  <c r="J24" i="6"/>
  <c r="J25" i="6" s="1"/>
  <c r="I24" i="6"/>
  <c r="I25" i="6" s="1"/>
  <c r="H24" i="6"/>
  <c r="H25" i="6" s="1"/>
  <c r="G24" i="6"/>
  <c r="G25" i="6" s="1"/>
  <c r="F24" i="6"/>
  <c r="F25" i="6" s="1"/>
  <c r="E24" i="6"/>
  <c r="E24" i="10"/>
  <c r="D26" i="10"/>
  <c r="D32" i="10"/>
  <c r="D31" i="10"/>
  <c r="E30" i="10"/>
  <c r="E31" i="10" l="1"/>
  <c r="E32" i="10"/>
  <c r="F30" i="10"/>
  <c r="F24" i="10"/>
  <c r="E25" i="10"/>
  <c r="E26" i="10"/>
  <c r="E25" i="6"/>
  <c r="AC24" i="6"/>
  <c r="AC25" i="6"/>
  <c r="B27" i="6" s="1"/>
  <c r="F25" i="10" l="1"/>
  <c r="F26" i="10"/>
  <c r="G24" i="10"/>
  <c r="F31" i="10"/>
  <c r="F32" i="10"/>
  <c r="G30" i="10"/>
  <c r="G31" i="10" l="1"/>
  <c r="G32" i="10"/>
  <c r="H30" i="10"/>
  <c r="G25" i="10"/>
  <c r="G26" i="10"/>
  <c r="H24" i="10"/>
  <c r="H25" i="10" l="1"/>
  <c r="H26" i="10"/>
  <c r="I24" i="10"/>
  <c r="H31" i="10"/>
  <c r="H32" i="10"/>
  <c r="I30" i="10"/>
  <c r="I31" i="10" l="1"/>
  <c r="I32" i="10"/>
  <c r="J30" i="10"/>
  <c r="I25" i="10"/>
  <c r="I26" i="10"/>
  <c r="J24" i="10"/>
  <c r="J25" i="10" l="1"/>
  <c r="J26" i="10"/>
  <c r="K24" i="10"/>
  <c r="J31" i="10"/>
  <c r="J32" i="10"/>
  <c r="K30" i="10"/>
  <c r="K31" i="10" l="1"/>
  <c r="K32" i="10"/>
  <c r="L30" i="10"/>
  <c r="K25" i="10"/>
  <c r="K26" i="10"/>
  <c r="L24" i="10"/>
  <c r="L25" i="10" l="1"/>
  <c r="L26" i="10"/>
  <c r="M24" i="10"/>
  <c r="L31" i="10"/>
  <c r="L32" i="10"/>
  <c r="M30" i="10"/>
  <c r="M31" i="10" l="1"/>
  <c r="M32" i="10"/>
  <c r="N30" i="10"/>
  <c r="M25" i="10"/>
  <c r="M26" i="10"/>
  <c r="N24" i="10"/>
  <c r="N25" i="10" l="1"/>
  <c r="N26" i="10"/>
  <c r="O24" i="10"/>
  <c r="N31" i="10"/>
  <c r="N32" i="10"/>
  <c r="O30" i="10"/>
  <c r="O31" i="10" l="1"/>
  <c r="O32" i="10"/>
  <c r="P30" i="10"/>
  <c r="O25" i="10"/>
  <c r="O26" i="10"/>
  <c r="P24" i="10"/>
  <c r="P25" i="10" l="1"/>
  <c r="P26" i="10"/>
  <c r="Q24" i="10"/>
  <c r="P31" i="10"/>
  <c r="Q31" i="10" s="1"/>
  <c r="C33" i="10" s="1"/>
  <c r="C34" i="10" s="1"/>
  <c r="P32" i="10"/>
  <c r="Q25" i="10" l="1"/>
  <c r="Q26" i="10"/>
  <c r="R24" i="10"/>
  <c r="R25" i="10" l="1"/>
  <c r="R26" i="10"/>
  <c r="S24" i="10"/>
  <c r="S25" i="10" l="1"/>
  <c r="S26" i="10"/>
  <c r="T24" i="10"/>
  <c r="T25" i="10" l="1"/>
  <c r="T26" i="10"/>
  <c r="U24" i="10"/>
  <c r="U25" i="10" l="1"/>
  <c r="U26" i="10"/>
  <c r="V24" i="10"/>
  <c r="V25" i="10" l="1"/>
  <c r="V26" i="10"/>
  <c r="W24" i="10"/>
  <c r="W25" i="10" l="1"/>
  <c r="W26" i="10"/>
  <c r="X24" i="10"/>
  <c r="X25" i="10" l="1"/>
  <c r="X26" i="10"/>
  <c r="Y24" i="10"/>
  <c r="Y25" i="10" l="1"/>
  <c r="Y26" i="10"/>
  <c r="Z24" i="10"/>
  <c r="Z25" i="10" l="1"/>
  <c r="Z26" i="10"/>
  <c r="AA24" i="10"/>
  <c r="AA25" i="10" l="1"/>
  <c r="AA26" i="10"/>
  <c r="AB24" i="10"/>
  <c r="AB25" i="10" l="1"/>
  <c r="AB26" i="10"/>
  <c r="AC24" i="10"/>
  <c r="AC25" i="10" l="1"/>
  <c r="AC26" i="10"/>
  <c r="AD24" i="10"/>
  <c r="AD25" i="10" l="1"/>
  <c r="AD26" i="10"/>
  <c r="AE24" i="10"/>
  <c r="AE25" i="10" l="1"/>
  <c r="AE26" i="10"/>
  <c r="AF24" i="10"/>
  <c r="AF25" i="10" l="1"/>
  <c r="AF26" i="10"/>
  <c r="AG24" i="10"/>
  <c r="AG25" i="10" l="1"/>
  <c r="AG26" i="10"/>
  <c r="AH24" i="10"/>
  <c r="AH25" i="10" l="1"/>
  <c r="AH26" i="10"/>
  <c r="AI24" i="10"/>
  <c r="AI25" i="10" l="1"/>
  <c r="AI26" i="10"/>
  <c r="AJ24" i="10"/>
  <c r="AJ25" i="10" l="1"/>
  <c r="AJ26" i="10"/>
  <c r="AK24" i="10"/>
  <c r="AK25" i="10" l="1"/>
  <c r="AK26" i="10"/>
  <c r="AL24" i="10"/>
  <c r="AL25" i="10" l="1"/>
  <c r="AL26" i="10"/>
  <c r="AM24" i="10"/>
  <c r="AM25" i="10" l="1"/>
  <c r="AM26" i="10"/>
  <c r="AN24" i="10"/>
  <c r="AN25" i="10" l="1"/>
  <c r="AN26" i="10"/>
  <c r="AO24" i="10"/>
  <c r="AO25" i="10" l="1"/>
  <c r="AO26" i="10"/>
  <c r="AP24" i="10"/>
  <c r="AP25" i="10" l="1"/>
  <c r="AP26" i="10"/>
  <c r="AQ24" i="10"/>
  <c r="AQ25" i="10" l="1"/>
  <c r="AQ26" i="10"/>
  <c r="AR24" i="10"/>
  <c r="AR25" i="10" l="1"/>
  <c r="AR26" i="10"/>
  <c r="AS24" i="10"/>
  <c r="AS25" i="10" l="1"/>
  <c r="AS26" i="10"/>
  <c r="AT24" i="10"/>
  <c r="AT25" i="10" l="1"/>
  <c r="AT26" i="10"/>
  <c r="AU24" i="10"/>
  <c r="AU25" i="10" l="1"/>
  <c r="AU26" i="10"/>
  <c r="AV24" i="10"/>
  <c r="AV25" i="10" l="1"/>
  <c r="AV26" i="10"/>
  <c r="AW24" i="10"/>
  <c r="AW25" i="10" l="1"/>
  <c r="AW26" i="10"/>
  <c r="AX24" i="10"/>
  <c r="AX25" i="10" l="1"/>
  <c r="AX26" i="10"/>
  <c r="AY24" i="10"/>
  <c r="AY25" i="10" l="1"/>
  <c r="AY26" i="10"/>
  <c r="AZ24" i="10"/>
  <c r="AZ25" i="10" l="1"/>
  <c r="AZ26" i="10"/>
  <c r="BA24" i="10"/>
  <c r="BA25" i="10" l="1"/>
  <c r="BA26" i="10"/>
  <c r="BB24" i="10"/>
  <c r="BB25" i="10" l="1"/>
  <c r="BB26" i="10"/>
  <c r="BC24" i="10"/>
  <c r="BC25" i="10" l="1"/>
  <c r="BC26" i="10"/>
  <c r="BD24" i="10"/>
  <c r="BD25" i="10" l="1"/>
  <c r="BD26" i="10"/>
  <c r="BE24" i="10"/>
  <c r="BE25" i="10" l="1"/>
  <c r="BE26" i="10"/>
  <c r="BF24" i="10"/>
  <c r="BF25" i="10" l="1"/>
  <c r="BF26" i="10"/>
  <c r="BG24" i="10"/>
  <c r="BG25" i="10" l="1"/>
  <c r="BG26" i="10"/>
  <c r="BH24" i="10"/>
  <c r="BH25" i="10" l="1"/>
  <c r="BH26" i="10"/>
  <c r="BI24" i="10"/>
  <c r="BI25" i="10" l="1"/>
  <c r="BI26" i="10"/>
  <c r="BJ24" i="10"/>
  <c r="BJ25" i="10" l="1"/>
  <c r="BJ26" i="10"/>
  <c r="BK24" i="10"/>
  <c r="BK25" i="10" l="1"/>
  <c r="BK26" i="10"/>
  <c r="BL24" i="10"/>
  <c r="BL25" i="10" l="1"/>
  <c r="BL26" i="10"/>
  <c r="BM24" i="10"/>
  <c r="BM25" i="10" l="1"/>
  <c r="BM26" i="10"/>
  <c r="BN24" i="10"/>
  <c r="BN25" i="10" l="1"/>
  <c r="BN26" i="10"/>
  <c r="BO24" i="10"/>
  <c r="BO25" i="10" l="1"/>
  <c r="BO26" i="10"/>
  <c r="BP24" i="10"/>
  <c r="BP25" i="10" l="1"/>
  <c r="BP26" i="10"/>
  <c r="BQ24" i="10"/>
  <c r="BQ25" i="10" l="1"/>
  <c r="BQ26" i="10"/>
  <c r="BR24" i="10"/>
  <c r="BR25" i="10" l="1"/>
  <c r="BR26" i="10"/>
  <c r="BS24" i="10"/>
  <c r="BS25" i="10" l="1"/>
  <c r="BS26" i="10"/>
  <c r="BT24" i="10"/>
  <c r="BT25" i="10" l="1"/>
  <c r="BT26" i="10"/>
  <c r="BU24" i="10"/>
  <c r="BU25" i="10" l="1"/>
  <c r="BU26" i="10"/>
  <c r="BV24" i="10"/>
  <c r="BV25" i="10" l="1"/>
  <c r="BV26" i="10"/>
  <c r="BW24" i="10"/>
  <c r="BW25" i="10" l="1"/>
  <c r="BW26" i="10"/>
  <c r="BX24" i="10"/>
  <c r="BX25" i="10" l="1"/>
  <c r="BX26" i="10"/>
  <c r="BY24" i="10"/>
  <c r="BY25" i="10" l="1"/>
  <c r="BY26" i="10"/>
  <c r="BZ24" i="10"/>
  <c r="BZ25" i="10" l="1"/>
  <c r="BZ26" i="10"/>
  <c r="CA24" i="10"/>
  <c r="CA25" i="10" l="1"/>
  <c r="CA26" i="10"/>
  <c r="CB24" i="10"/>
  <c r="CB25" i="10" l="1"/>
  <c r="CB26" i="10"/>
  <c r="CC24" i="10"/>
  <c r="CC25" i="10" l="1"/>
  <c r="CC26" i="10"/>
  <c r="CD24" i="10"/>
  <c r="CD25" i="10" l="1"/>
  <c r="CD26" i="10"/>
  <c r="CE24" i="10"/>
  <c r="CE25" i="10" l="1"/>
  <c r="CE26" i="10"/>
  <c r="CF24" i="10"/>
  <c r="CF25" i="10" l="1"/>
  <c r="CF26" i="10"/>
  <c r="CG24" i="10"/>
  <c r="CG25" i="10" l="1"/>
  <c r="CG26" i="10"/>
  <c r="CH24" i="10"/>
  <c r="CH25" i="10" l="1"/>
  <c r="CH26" i="10"/>
  <c r="CI24" i="10"/>
  <c r="CI25" i="10" l="1"/>
  <c r="CI26" i="10"/>
  <c r="CJ24" i="10"/>
  <c r="CJ25" i="10" l="1"/>
  <c r="CJ26" i="10"/>
  <c r="CK24" i="10"/>
  <c r="CK25" i="10" l="1"/>
  <c r="CK26" i="10"/>
  <c r="CL24" i="10"/>
  <c r="CL25" i="10" l="1"/>
  <c r="CL26" i="10"/>
  <c r="CM24" i="10"/>
  <c r="CM25" i="10" l="1"/>
  <c r="CM26" i="10"/>
  <c r="CN24" i="10"/>
  <c r="CN25" i="10" l="1"/>
  <c r="CN26" i="10"/>
  <c r="CO24" i="10"/>
  <c r="CO25" i="10" l="1"/>
  <c r="CO26" i="10"/>
  <c r="CP24" i="10"/>
  <c r="CP25" i="10" l="1"/>
  <c r="CP26" i="10"/>
  <c r="CQ24" i="10"/>
  <c r="CQ25" i="10" l="1"/>
  <c r="CQ26" i="10"/>
  <c r="CR24" i="10"/>
  <c r="CR25" i="10" l="1"/>
  <c r="CR26" i="10"/>
  <c r="CS24" i="10"/>
  <c r="CS25" i="10" l="1"/>
  <c r="CS26" i="10"/>
  <c r="CT24" i="10"/>
  <c r="CT25" i="10" l="1"/>
  <c r="CT26" i="10"/>
  <c r="CU24" i="10"/>
  <c r="CU25" i="10" l="1"/>
  <c r="CU26" i="10"/>
  <c r="CV24" i="10"/>
  <c r="CV25" i="10" l="1"/>
  <c r="CV26" i="10"/>
  <c r="CW24" i="10"/>
  <c r="CW25" i="10" l="1"/>
  <c r="CW26" i="10"/>
  <c r="CX24" i="10"/>
  <c r="CX25" i="10" l="1"/>
  <c r="CX26" i="10"/>
  <c r="CY24" i="10"/>
  <c r="CY25" i="10" l="1"/>
  <c r="CY26" i="10"/>
  <c r="CZ24" i="10"/>
  <c r="CZ25" i="10" l="1"/>
  <c r="CZ26" i="10"/>
  <c r="DA24" i="10"/>
  <c r="DA25" i="10" l="1"/>
  <c r="DA26" i="10"/>
  <c r="DB24" i="10"/>
  <c r="DB25" i="10" l="1"/>
  <c r="DB26" i="10"/>
  <c r="DC24" i="10"/>
  <c r="DC25" i="10" l="1"/>
  <c r="DC26" i="10"/>
  <c r="DD24" i="10"/>
  <c r="DD25" i="10" l="1"/>
  <c r="DD26" i="10"/>
  <c r="DE24" i="10"/>
  <c r="DE25" i="10" l="1"/>
  <c r="DE26" i="10"/>
  <c r="DF24" i="10"/>
  <c r="DF25" i="10" l="1"/>
  <c r="DF26" i="10"/>
  <c r="DG24" i="10"/>
  <c r="DG25" i="10" l="1"/>
  <c r="DG26" i="10"/>
  <c r="DH24" i="10"/>
  <c r="DH25" i="10" l="1"/>
  <c r="DH26" i="10"/>
  <c r="DI24" i="10"/>
  <c r="DI25" i="10" l="1"/>
  <c r="DI26" i="10"/>
  <c r="DJ24" i="10"/>
  <c r="DJ25" i="10" l="1"/>
  <c r="DJ26" i="10"/>
  <c r="DK24" i="10"/>
  <c r="DK25" i="10" l="1"/>
  <c r="DK26" i="10"/>
  <c r="DL24" i="10"/>
  <c r="DL25" i="10" l="1"/>
  <c r="DL26" i="10"/>
  <c r="DM24" i="10"/>
  <c r="DM25" i="10" l="1"/>
  <c r="DM26" i="10"/>
  <c r="DN24" i="10"/>
  <c r="DN25" i="10" l="1"/>
  <c r="DN26" i="10"/>
  <c r="DO24" i="10"/>
  <c r="DO25" i="10" l="1"/>
  <c r="DO26" i="10"/>
  <c r="DP24" i="10"/>
  <c r="DP25" i="10" l="1"/>
  <c r="DP26" i="10"/>
  <c r="DQ24" i="10"/>
  <c r="DQ25" i="10" l="1"/>
  <c r="DQ26" i="10"/>
  <c r="DR24" i="10"/>
  <c r="DR25" i="10" l="1"/>
  <c r="DR26" i="10"/>
  <c r="DS24" i="10"/>
  <c r="DS25" i="10" l="1"/>
  <c r="DS26" i="10"/>
  <c r="DT24" i="10"/>
  <c r="DT25" i="10" l="1"/>
  <c r="DT26" i="10"/>
  <c r="DU24" i="10"/>
  <c r="DU25" i="10" l="1"/>
  <c r="DU26" i="10"/>
  <c r="DV24" i="10"/>
  <c r="DV25" i="10" l="1"/>
  <c r="DV26" i="10"/>
  <c r="DW24" i="10"/>
  <c r="DW25" i="10" l="1"/>
  <c r="DW26" i="10"/>
  <c r="DX24" i="10"/>
  <c r="DX25" i="10" l="1"/>
  <c r="DX26" i="10"/>
  <c r="DY24" i="10"/>
  <c r="DY25" i="10" l="1"/>
  <c r="DY26" i="10"/>
  <c r="DZ24" i="10"/>
  <c r="DZ25" i="10" l="1"/>
  <c r="DZ26" i="10"/>
  <c r="EA24" i="10"/>
  <c r="EA25" i="10" l="1"/>
  <c r="EA26" i="10"/>
  <c r="EB24" i="10"/>
  <c r="EB25" i="10" l="1"/>
  <c r="EB26" i="10"/>
  <c r="EC24" i="10"/>
  <c r="EC25" i="10" l="1"/>
  <c r="EC26" i="10"/>
  <c r="ED24" i="10"/>
  <c r="ED25" i="10" l="1"/>
  <c r="ED26" i="10"/>
  <c r="EE24" i="10"/>
  <c r="EE25" i="10" l="1"/>
  <c r="EE26" i="10"/>
  <c r="EF24" i="10"/>
  <c r="EF25" i="10" l="1"/>
  <c r="EF26" i="10"/>
  <c r="EG24" i="10"/>
  <c r="EG25" i="10" l="1"/>
  <c r="EG26" i="10"/>
  <c r="EH24" i="10"/>
  <c r="EH25" i="10" l="1"/>
  <c r="EH26" i="10"/>
  <c r="EI24" i="10"/>
  <c r="EI25" i="10" l="1"/>
  <c r="EI26" i="10"/>
  <c r="EJ24" i="10"/>
  <c r="EJ25" i="10" l="1"/>
  <c r="EJ26" i="10"/>
  <c r="EK24" i="10"/>
  <c r="EK25" i="10" l="1"/>
  <c r="EK26" i="10"/>
  <c r="EL24" i="10"/>
  <c r="EL25" i="10" l="1"/>
  <c r="EL26" i="10"/>
  <c r="EM24" i="10"/>
  <c r="EM25" i="10" l="1"/>
  <c r="EM26" i="10"/>
  <c r="EN24" i="10"/>
  <c r="EN25" i="10" l="1"/>
  <c r="EN26" i="10"/>
  <c r="EO24" i="10"/>
  <c r="EO25" i="10" l="1"/>
  <c r="EO26" i="10"/>
  <c r="EP24" i="10"/>
  <c r="EP25" i="10" l="1"/>
  <c r="EP26" i="10"/>
  <c r="EQ24" i="10"/>
  <c r="EQ25" i="10" l="1"/>
  <c r="EQ26" i="10"/>
  <c r="ER24" i="10"/>
  <c r="ER25" i="10" l="1"/>
  <c r="ER26" i="10"/>
  <c r="ES24" i="10"/>
  <c r="ES25" i="10" l="1"/>
  <c r="ES26" i="10"/>
  <c r="ET24" i="10"/>
  <c r="ET25" i="10" l="1"/>
  <c r="ET26" i="10"/>
  <c r="EU24" i="10"/>
  <c r="EU25" i="10" l="1"/>
  <c r="EU26" i="10"/>
  <c r="EV24" i="10"/>
  <c r="EV25" i="10" l="1"/>
  <c r="EV26" i="10"/>
  <c r="EW24" i="10"/>
  <c r="EW25" i="10" l="1"/>
  <c r="EW26" i="10"/>
  <c r="EX24" i="10"/>
  <c r="EX25" i="10" l="1"/>
  <c r="EX26" i="10"/>
  <c r="EY24" i="10"/>
  <c r="EY25" i="10" l="1"/>
  <c r="EY26" i="10"/>
  <c r="EZ24" i="10"/>
  <c r="EZ25" i="10" l="1"/>
  <c r="EZ26" i="10"/>
  <c r="FA24" i="10"/>
  <c r="FA25" i="10" l="1"/>
  <c r="FA26" i="10"/>
  <c r="FB24" i="10"/>
  <c r="FB25" i="10" l="1"/>
  <c r="FB26" i="10"/>
  <c r="FC24" i="10"/>
  <c r="FC25" i="10" l="1"/>
  <c r="FC26" i="10"/>
  <c r="FD24" i="10"/>
  <c r="FD25" i="10" l="1"/>
  <c r="FD26" i="10"/>
  <c r="FE24" i="10"/>
  <c r="FE25" i="10" l="1"/>
  <c r="FE26" i="10"/>
  <c r="FF24" i="10"/>
  <c r="FF25" i="10" l="1"/>
  <c r="FF26" i="10"/>
  <c r="FG24" i="10"/>
  <c r="FG25" i="10" l="1"/>
  <c r="FG26" i="10"/>
  <c r="FH24" i="10"/>
  <c r="FH25" i="10" l="1"/>
  <c r="FH26" i="10"/>
  <c r="FI24" i="10"/>
  <c r="FI25" i="10" l="1"/>
  <c r="FI26" i="10"/>
  <c r="FJ24" i="10"/>
  <c r="FJ25" i="10" l="1"/>
  <c r="FJ26" i="10"/>
  <c r="FK24" i="10"/>
  <c r="FK25" i="10" l="1"/>
  <c r="FK26" i="10"/>
  <c r="FL24" i="10"/>
  <c r="FL25" i="10" l="1"/>
  <c r="FL26" i="10"/>
  <c r="FM24" i="10"/>
  <c r="FM25" i="10" l="1"/>
  <c r="FM26" i="10"/>
  <c r="FN24" i="10"/>
  <c r="FN25" i="10" l="1"/>
  <c r="FN26" i="10"/>
  <c r="FO24" i="10"/>
  <c r="FO25" i="10" l="1"/>
  <c r="FO26" i="10"/>
  <c r="FP24" i="10"/>
  <c r="FP25" i="10" l="1"/>
  <c r="FP26" i="10"/>
  <c r="FQ24" i="10"/>
  <c r="FQ25" i="10" l="1"/>
  <c r="FQ26" i="10"/>
  <c r="FR24" i="10"/>
  <c r="FR25" i="10" l="1"/>
  <c r="FR26" i="10"/>
  <c r="FS24" i="10"/>
  <c r="FS25" i="10" l="1"/>
  <c r="FS26" i="10"/>
  <c r="FT24" i="10"/>
  <c r="FT25" i="10" l="1"/>
  <c r="FT26" i="10"/>
  <c r="FU24" i="10"/>
  <c r="FU25" i="10" l="1"/>
  <c r="FU26" i="10"/>
  <c r="FV24" i="10"/>
  <c r="FV25" i="10" l="1"/>
  <c r="FV26" i="10"/>
  <c r="FW24" i="10"/>
  <c r="FW25" i="10" l="1"/>
  <c r="FW26" i="10"/>
  <c r="FX24" i="10"/>
  <c r="FX25" i="10" l="1"/>
  <c r="FX26" i="10"/>
  <c r="FY24" i="10"/>
  <c r="FY25" i="10" l="1"/>
  <c r="FY26" i="10"/>
  <c r="FZ24" i="10"/>
  <c r="FZ25" i="10" l="1"/>
  <c r="FZ26" i="10"/>
  <c r="GA24" i="10"/>
  <c r="GA25" i="10" l="1"/>
  <c r="GA26" i="10"/>
  <c r="GB24" i="10"/>
  <c r="GB25" i="10" l="1"/>
  <c r="GB26" i="10"/>
  <c r="GC24" i="10"/>
  <c r="GC25" i="10" l="1"/>
  <c r="GC26" i="10"/>
  <c r="GD24" i="10"/>
  <c r="GD25" i="10" l="1"/>
  <c r="GD26" i="10"/>
  <c r="GE24" i="10"/>
  <c r="GE25" i="10" l="1"/>
  <c r="GE26" i="10"/>
  <c r="GF24" i="10"/>
  <c r="GF25" i="10" l="1"/>
  <c r="GF26" i="10"/>
  <c r="GG24" i="10"/>
  <c r="GG25" i="10" l="1"/>
  <c r="GG26" i="10"/>
  <c r="GH24" i="10"/>
  <c r="GH25" i="10" l="1"/>
  <c r="GH26" i="10"/>
  <c r="GI24" i="10"/>
  <c r="GI25" i="10" l="1"/>
  <c r="GI26" i="10"/>
  <c r="GJ24" i="10"/>
  <c r="GJ25" i="10" l="1"/>
  <c r="GJ26" i="10"/>
  <c r="GK24" i="10"/>
  <c r="GK25" i="10" l="1"/>
  <c r="GK26" i="10"/>
  <c r="GL24" i="10"/>
  <c r="GL25" i="10" l="1"/>
  <c r="GL26" i="10"/>
  <c r="GM24" i="10"/>
  <c r="GM25" i="10" l="1"/>
  <c r="GM26" i="10"/>
  <c r="GN24" i="10"/>
  <c r="GN25" i="10" l="1"/>
  <c r="GN26" i="10"/>
  <c r="GO24" i="10"/>
  <c r="GO25" i="10" l="1"/>
  <c r="GO26" i="10"/>
  <c r="GP24" i="10"/>
  <c r="GP25" i="10" l="1"/>
  <c r="GP26" i="10"/>
  <c r="GQ24" i="10"/>
  <c r="GQ25" i="10" l="1"/>
  <c r="GQ26" i="10"/>
  <c r="GR24" i="10"/>
  <c r="GR25" i="10" l="1"/>
  <c r="GR26" i="10"/>
  <c r="GS24" i="10"/>
  <c r="GS25" i="10" l="1"/>
  <c r="GS26" i="10"/>
  <c r="GT24" i="10"/>
  <c r="GT25" i="10" l="1"/>
  <c r="GT26" i="10"/>
  <c r="GU24" i="10"/>
  <c r="GU25" i="10" l="1"/>
  <c r="GU26" i="10"/>
  <c r="GV24" i="10"/>
  <c r="GV25" i="10" l="1"/>
  <c r="GV26" i="10"/>
  <c r="GW24" i="10"/>
  <c r="GW25" i="10" l="1"/>
  <c r="GW26" i="10"/>
  <c r="GX24" i="10"/>
  <c r="GX25" i="10" l="1"/>
  <c r="GX26" i="10"/>
  <c r="GY24" i="10"/>
  <c r="GY25" i="10" l="1"/>
  <c r="GY26" i="10"/>
  <c r="GZ24" i="10"/>
  <c r="GZ25" i="10" l="1"/>
  <c r="GZ26" i="10"/>
  <c r="HA24" i="10"/>
  <c r="HA25" i="10" l="1"/>
  <c r="HA26" i="10"/>
  <c r="HB24" i="10"/>
  <c r="HB25" i="10" l="1"/>
  <c r="HB26" i="10"/>
  <c r="HC24" i="10"/>
  <c r="HC25" i="10" l="1"/>
  <c r="HC26" i="10"/>
  <c r="HD24" i="10"/>
  <c r="HD25" i="10" l="1"/>
  <c r="HD26" i="10"/>
  <c r="HE24" i="10"/>
  <c r="HE25" i="10" l="1"/>
  <c r="HE26" i="10"/>
  <c r="HF24" i="10"/>
  <c r="HF25" i="10" l="1"/>
  <c r="HF26" i="10"/>
  <c r="HG24" i="10"/>
  <c r="HG25" i="10" l="1"/>
  <c r="HG26" i="10"/>
  <c r="HH24" i="10"/>
  <c r="HH25" i="10" l="1"/>
  <c r="HH26" i="10"/>
  <c r="HI24" i="10"/>
  <c r="HI25" i="10" l="1"/>
  <c r="HI26" i="10"/>
  <c r="HJ24" i="10"/>
  <c r="HJ25" i="10" l="1"/>
  <c r="HJ26" i="10"/>
  <c r="HK24" i="10"/>
  <c r="HK25" i="10" l="1"/>
  <c r="HK26" i="10"/>
  <c r="HL24" i="10"/>
  <c r="HL25" i="10" l="1"/>
  <c r="HL26" i="10"/>
  <c r="HM24" i="10"/>
  <c r="HM25" i="10" l="1"/>
  <c r="HM26" i="10"/>
  <c r="HN24" i="10"/>
  <c r="HN25" i="10" l="1"/>
  <c r="HN26" i="10"/>
  <c r="HO24" i="10"/>
  <c r="HO25" i="10" l="1"/>
  <c r="HO26" i="10"/>
  <c r="HP24" i="10"/>
  <c r="HP25" i="10" l="1"/>
  <c r="HP26" i="10"/>
  <c r="HQ24" i="10"/>
  <c r="HQ25" i="10" l="1"/>
  <c r="HQ26" i="10"/>
  <c r="HR24" i="10"/>
  <c r="HR25" i="10" l="1"/>
  <c r="HR26" i="10"/>
  <c r="HS24" i="10"/>
  <c r="HS25" i="10" l="1"/>
  <c r="HS26" i="10"/>
  <c r="HT24" i="10"/>
  <c r="HT25" i="10" l="1"/>
  <c r="HT26" i="10"/>
  <c r="HU24" i="10"/>
  <c r="HU25" i="10" l="1"/>
  <c r="HU26" i="10"/>
  <c r="HV24" i="10"/>
  <c r="HV25" i="10" l="1"/>
  <c r="HV26" i="10"/>
  <c r="HW24" i="10"/>
  <c r="HW25" i="10" l="1"/>
  <c r="HW26" i="10"/>
  <c r="HX24" i="10"/>
  <c r="HX25" i="10" l="1"/>
  <c r="HX26" i="10"/>
  <c r="HY24" i="10"/>
  <c r="HY25" i="10" l="1"/>
  <c r="HY26" i="10"/>
  <c r="HZ24" i="10"/>
  <c r="HZ25" i="10" l="1"/>
  <c r="HZ26" i="10"/>
  <c r="IA24" i="10"/>
  <c r="IA25" i="10" l="1"/>
  <c r="IA26" i="10"/>
  <c r="IB24" i="10"/>
  <c r="IB25" i="10" l="1"/>
  <c r="IB26" i="10"/>
  <c r="IC24" i="10"/>
  <c r="IC25" i="10" l="1"/>
  <c r="IC26" i="10"/>
  <c r="ID24" i="10"/>
  <c r="ID25" i="10" l="1"/>
  <c r="ID26" i="10"/>
  <c r="IE24" i="10"/>
  <c r="IE25" i="10" l="1"/>
  <c r="IE26" i="10"/>
  <c r="IF24" i="10"/>
  <c r="IF25" i="10" l="1"/>
  <c r="IF26" i="10"/>
  <c r="IG24" i="10"/>
  <c r="IG25" i="10" l="1"/>
  <c r="IG26" i="10"/>
  <c r="IH24" i="10"/>
  <c r="IH25" i="10" l="1"/>
  <c r="IH26" i="10"/>
  <c r="II24" i="10"/>
  <c r="II25" i="10" l="1"/>
  <c r="II26" i="10"/>
  <c r="IJ24" i="10"/>
  <c r="IJ25" i="10" l="1"/>
  <c r="IJ26" i="10"/>
  <c r="IK24" i="10"/>
  <c r="IK25" i="10" l="1"/>
  <c r="IK26" i="10"/>
  <c r="IL24" i="10"/>
  <c r="IL25" i="10" l="1"/>
  <c r="IL26" i="10"/>
  <c r="IM24" i="10"/>
  <c r="IM25" i="10" l="1"/>
  <c r="IM26" i="10"/>
  <c r="IN24" i="10"/>
  <c r="IN25" i="10" l="1"/>
  <c r="IN26" i="10"/>
  <c r="IO24" i="10"/>
  <c r="IO25" i="10" l="1"/>
  <c r="IO26" i="10"/>
  <c r="IP24" i="10"/>
  <c r="IP25" i="10" l="1"/>
  <c r="IP26" i="10"/>
  <c r="IQ24" i="10"/>
  <c r="IQ25" i="10" l="1"/>
  <c r="IQ26" i="10"/>
  <c r="IR24" i="10"/>
  <c r="IR25" i="10" l="1"/>
  <c r="IR26" i="10"/>
  <c r="IS24" i="10"/>
  <c r="IS25" i="10" l="1"/>
  <c r="IS26" i="10"/>
  <c r="IT24" i="10"/>
  <c r="IT25" i="10" l="1"/>
  <c r="IT26" i="10"/>
  <c r="IU24" i="10"/>
  <c r="IU25" i="10" l="1"/>
  <c r="IU26" i="10"/>
  <c r="IV24" i="10"/>
  <c r="IV25" i="10" l="1"/>
  <c r="IV26" i="10"/>
  <c r="IW24" i="10"/>
  <c r="IW25" i="10" l="1"/>
  <c r="IW26" i="10"/>
  <c r="IX24" i="10"/>
  <c r="IX25" i="10" l="1"/>
  <c r="IX26" i="10"/>
  <c r="IY24" i="10"/>
  <c r="IY25" i="10" l="1"/>
  <c r="IY26" i="10"/>
  <c r="IZ24" i="10"/>
  <c r="IZ25" i="10" l="1"/>
  <c r="IZ26" i="10"/>
  <c r="JA24" i="10"/>
  <c r="JA25" i="10" l="1"/>
  <c r="JA26" i="10"/>
  <c r="JB24" i="10"/>
  <c r="JB25" i="10" l="1"/>
  <c r="JB26" i="10"/>
  <c r="JC24" i="10"/>
  <c r="JC25" i="10" l="1"/>
  <c r="JC26" i="10"/>
  <c r="JD24" i="10"/>
  <c r="JD25" i="10" l="1"/>
  <c r="JD26" i="10"/>
  <c r="JE24" i="10"/>
  <c r="JE25" i="10" l="1"/>
  <c r="JE26" i="10"/>
  <c r="JF24" i="10"/>
  <c r="JF25" i="10" l="1"/>
  <c r="JG25" i="10" s="1"/>
  <c r="C27" i="10" s="1"/>
  <c r="C28" i="10" s="1"/>
  <c r="JF26" i="10"/>
</calcChain>
</file>

<file path=xl/sharedStrings.xml><?xml version="1.0" encoding="utf-8"?>
<sst xmlns="http://schemas.openxmlformats.org/spreadsheetml/2006/main" count="215" uniqueCount="133">
  <si>
    <t>Historic Inflation Rates</t>
  </si>
  <si>
    <t>Year</t>
  </si>
  <si>
    <t>Rate</t>
  </si>
  <si>
    <t>Today's value of past money</t>
  </si>
  <si>
    <r>
      <t xml:space="preserve">n </t>
    </r>
    <r>
      <rPr>
        <sz val="8"/>
        <rFont val="Verdana"/>
      </rPr>
      <t>compounding periods</t>
    </r>
  </si>
  <si>
    <r>
      <t xml:space="preserve">r </t>
    </r>
    <r>
      <rPr>
        <sz val="8"/>
        <rFont val="Verdana"/>
      </rPr>
      <t>nominal rate</t>
    </r>
  </si>
  <si>
    <t>Nominal to Effective Rate</t>
  </si>
  <si>
    <r>
      <t xml:space="preserve">r </t>
    </r>
    <r>
      <rPr>
        <sz val="8"/>
        <rFont val="Verdana"/>
      </rPr>
      <t>eff</t>
    </r>
    <r>
      <rPr>
        <sz val="10"/>
        <rFont val="Verdana"/>
      </rPr>
      <t xml:space="preserve"> = (1+ r/n)^n - 1</t>
    </r>
  </si>
  <si>
    <t>Annual Percentage Yield</t>
  </si>
  <si>
    <r>
      <t>r</t>
    </r>
    <r>
      <rPr>
        <sz val="8"/>
        <rFont val="Verdana"/>
      </rPr>
      <t>n rate per period</t>
    </r>
  </si>
  <si>
    <r>
      <t>APY = (1+ r</t>
    </r>
    <r>
      <rPr>
        <sz val="8"/>
        <rFont val="Verdana"/>
      </rPr>
      <t>n</t>
    </r>
    <r>
      <rPr>
        <sz val="10"/>
        <rFont val="Verdana"/>
      </rPr>
      <t>)^n - 1</t>
    </r>
  </si>
  <si>
    <t>Compounded Interest</t>
  </si>
  <si>
    <r>
      <t xml:space="preserve">r </t>
    </r>
    <r>
      <rPr>
        <sz val="8"/>
        <rFont val="Verdana"/>
      </rPr>
      <t>interest rate %</t>
    </r>
  </si>
  <si>
    <r>
      <t>L</t>
    </r>
    <r>
      <rPr>
        <sz val="10"/>
        <rFont val="Verdana"/>
      </rPr>
      <t xml:space="preserve"> </t>
    </r>
    <r>
      <rPr>
        <sz val="8"/>
        <rFont val="Verdana"/>
      </rPr>
      <t>Loan amount £</t>
    </r>
  </si>
  <si>
    <r>
      <t>L</t>
    </r>
    <r>
      <rPr>
        <sz val="8"/>
        <rFont val="Verdana"/>
      </rPr>
      <t xml:space="preserve">n = </t>
    </r>
    <r>
      <rPr>
        <sz val="10"/>
        <rFont val="Verdana"/>
      </rPr>
      <t>L</t>
    </r>
    <r>
      <rPr>
        <sz val="8"/>
        <rFont val="Verdana"/>
      </rPr>
      <t>0*</t>
    </r>
    <r>
      <rPr>
        <sz val="10"/>
        <rFont val="Verdana"/>
      </rPr>
      <t>(1+r)^</t>
    </r>
    <r>
      <rPr>
        <sz val="8"/>
        <rFont val="Verdana"/>
      </rPr>
      <t>n</t>
    </r>
  </si>
  <si>
    <r>
      <t>n</t>
    </r>
    <r>
      <rPr>
        <sz val="10"/>
        <rFont val="Verdana"/>
      </rPr>
      <t xml:space="preserve"> </t>
    </r>
    <r>
      <rPr>
        <sz val="8"/>
        <rFont val="Verdana"/>
      </rPr>
      <t>number of periods</t>
    </r>
  </si>
  <si>
    <t>Mortgage payments</t>
  </si>
  <si>
    <r>
      <t xml:space="preserve">L </t>
    </r>
    <r>
      <rPr>
        <sz val="8"/>
        <rFont val="Verdana"/>
      </rPr>
      <t>Loan (mortgage) £</t>
    </r>
  </si>
  <si>
    <t>P = L[r(1 + r)^n]/[(1 + r)^n - 1]</t>
  </si>
  <si>
    <t>Mortgage balance</t>
  </si>
  <si>
    <t>B = L[(1 + r)^n - (1 + r)^p]/[(1 + r)^n - 1]</t>
  </si>
  <si>
    <r>
      <t xml:space="preserve">n </t>
    </r>
    <r>
      <rPr>
        <sz val="8"/>
        <rFont val="Verdana"/>
      </rPr>
      <t>number of periods (years)</t>
    </r>
  </si>
  <si>
    <r>
      <t xml:space="preserve">n </t>
    </r>
    <r>
      <rPr>
        <sz val="8"/>
        <rFont val="Verdana"/>
      </rPr>
      <t>number of periods (months)</t>
    </r>
  </si>
  <si>
    <r>
      <t xml:space="preserve">n </t>
    </r>
    <r>
      <rPr>
        <sz val="8"/>
        <rFont val="Verdana"/>
      </rPr>
      <t xml:space="preserve">number of periods mortgage (Y) </t>
    </r>
  </si>
  <si>
    <r>
      <t xml:space="preserve">p </t>
    </r>
    <r>
      <rPr>
        <sz val="8"/>
        <rFont val="Verdana"/>
      </rPr>
      <t>period for calculation (Y)</t>
    </r>
  </si>
  <si>
    <r>
      <t>D</t>
    </r>
    <r>
      <rPr>
        <b/>
        <sz val="8"/>
        <rFont val="Verdana"/>
      </rPr>
      <t>0</t>
    </r>
    <r>
      <rPr>
        <b/>
        <sz val="10"/>
        <rFont val="Verdana"/>
      </rPr>
      <t xml:space="preserve"> = D</t>
    </r>
    <r>
      <rPr>
        <b/>
        <sz val="8"/>
        <rFont val="Verdana"/>
      </rPr>
      <t>n</t>
    </r>
    <r>
      <rPr>
        <b/>
        <sz val="10"/>
        <rFont val="Verdana"/>
      </rPr>
      <t xml:space="preserve">/(1+r)^n </t>
    </r>
    <r>
      <rPr>
        <sz val="8"/>
        <rFont val="Verdana"/>
      </rPr>
      <t>today's value of money in future</t>
    </r>
  </si>
  <si>
    <t>Discounted future money</t>
  </si>
  <si>
    <r>
      <t xml:space="preserve">Mn = M*(1+i)^n     </t>
    </r>
    <r>
      <rPr>
        <sz val="8"/>
        <rFont val="Verdana"/>
      </rPr>
      <t>today's value £</t>
    </r>
  </si>
  <si>
    <r>
      <t xml:space="preserve">n     </t>
    </r>
    <r>
      <rPr>
        <sz val="8"/>
        <rFont val="Verdana"/>
      </rPr>
      <t>number of periods (years)</t>
    </r>
  </si>
  <si>
    <r>
      <t xml:space="preserve">i      </t>
    </r>
    <r>
      <rPr>
        <sz val="8"/>
        <rFont val="Verdana"/>
      </rPr>
      <t>inflation rate %</t>
    </r>
  </si>
  <si>
    <r>
      <t xml:space="preserve">M    </t>
    </r>
    <r>
      <rPr>
        <sz val="8"/>
        <rFont val="Verdana"/>
      </rPr>
      <t>amount money in the past £</t>
    </r>
  </si>
  <si>
    <r>
      <t>Dn</t>
    </r>
    <r>
      <rPr>
        <sz val="10"/>
        <rFont val="Verdana"/>
      </rPr>
      <t xml:space="preserve"> </t>
    </r>
    <r>
      <rPr>
        <sz val="8"/>
        <rFont val="Verdana"/>
      </rPr>
      <t xml:space="preserve">      amount in future £</t>
    </r>
  </si>
  <si>
    <r>
      <t xml:space="preserve">d        </t>
    </r>
    <r>
      <rPr>
        <sz val="8"/>
        <rFont val="Verdana"/>
      </rPr>
      <t>discount rate %</t>
    </r>
  </si>
  <si>
    <r>
      <t>n</t>
    </r>
    <r>
      <rPr>
        <sz val="10"/>
        <rFont val="Verdana"/>
      </rPr>
      <t xml:space="preserve">        </t>
    </r>
    <r>
      <rPr>
        <sz val="8"/>
        <rFont val="Verdana"/>
      </rPr>
      <t>number of periods</t>
    </r>
  </si>
  <si>
    <t>Expenses</t>
  </si>
  <si>
    <t>Annual Percentage Yield (Rate) - APR</t>
  </si>
  <si>
    <r>
      <t>D</t>
    </r>
    <r>
      <rPr>
        <sz val="10"/>
        <rFont val="Verdana"/>
      </rPr>
      <t xml:space="preserve"> = </t>
    </r>
    <r>
      <rPr>
        <sz val="8"/>
        <rFont val="Verdana"/>
      </rPr>
      <t>initial deposit (D</t>
    </r>
    <r>
      <rPr>
        <vertAlign val="subscript"/>
        <sz val="8"/>
        <rFont val="Verdana"/>
      </rPr>
      <t>0</t>
    </r>
    <r>
      <rPr>
        <sz val="8"/>
        <rFont val="Verdana"/>
      </rPr>
      <t>)</t>
    </r>
  </si>
  <si>
    <r>
      <t>r</t>
    </r>
    <r>
      <rPr>
        <sz val="10"/>
        <rFont val="Verdana"/>
      </rPr>
      <t xml:space="preserve"> =</t>
    </r>
    <r>
      <rPr>
        <sz val="8"/>
        <rFont val="Verdana"/>
      </rPr>
      <t xml:space="preserve"> interest rate, if floating </t>
    </r>
    <r>
      <rPr>
        <b/>
        <sz val="8"/>
        <rFont val="Verdana"/>
      </rPr>
      <t>r</t>
    </r>
    <r>
      <rPr>
        <b/>
        <vertAlign val="subscript"/>
        <sz val="8"/>
        <rFont val="Verdana"/>
      </rPr>
      <t>n</t>
    </r>
    <r>
      <rPr>
        <sz val="8"/>
        <rFont val="Verdana"/>
      </rPr>
      <t xml:space="preserve"> is the interest rate in year </t>
    </r>
    <r>
      <rPr>
        <b/>
        <sz val="8"/>
        <rFont val="Verdana"/>
      </rPr>
      <t>n</t>
    </r>
  </si>
  <si>
    <r>
      <t>n</t>
    </r>
    <r>
      <rPr>
        <sz val="10"/>
        <rFont val="Verdana"/>
      </rPr>
      <t xml:space="preserve"> =</t>
    </r>
    <r>
      <rPr>
        <sz val="8"/>
        <rFont val="Verdana"/>
      </rPr>
      <t xml:space="preserve"> year</t>
    </r>
  </si>
  <si>
    <r>
      <t>D</t>
    </r>
    <r>
      <rPr>
        <b/>
        <vertAlign val="subscript"/>
        <sz val="10"/>
        <color indexed="18"/>
        <rFont val="Verdana"/>
      </rPr>
      <t>n</t>
    </r>
    <r>
      <rPr>
        <b/>
        <sz val="10"/>
        <color indexed="18"/>
        <rFont val="Verdana"/>
      </rPr>
      <t xml:space="preserve"> = D.(1+r)</t>
    </r>
    <r>
      <rPr>
        <b/>
        <vertAlign val="superscript"/>
        <sz val="10"/>
        <color indexed="18"/>
        <rFont val="Verdana"/>
      </rPr>
      <t>n</t>
    </r>
    <r>
      <rPr>
        <sz val="10"/>
        <rFont val="Verdana"/>
      </rPr>
      <t xml:space="preserve">   </t>
    </r>
    <r>
      <rPr>
        <sz val="8"/>
        <rFont val="Verdana"/>
      </rPr>
      <t xml:space="preserve"> at fixed interest rate</t>
    </r>
  </si>
  <si>
    <r>
      <t>D</t>
    </r>
    <r>
      <rPr>
        <b/>
        <vertAlign val="subscript"/>
        <sz val="10"/>
        <color indexed="18"/>
        <rFont val="Verdana"/>
      </rPr>
      <t>n</t>
    </r>
    <r>
      <rPr>
        <b/>
        <sz val="10"/>
        <color indexed="18"/>
        <rFont val="Verdana"/>
      </rPr>
      <t xml:space="preserve"> = D. (1+r</t>
    </r>
    <r>
      <rPr>
        <b/>
        <vertAlign val="subscript"/>
        <sz val="10"/>
        <color indexed="18"/>
        <rFont val="Verdana"/>
      </rPr>
      <t>1</t>
    </r>
    <r>
      <rPr>
        <b/>
        <sz val="10"/>
        <color indexed="18"/>
        <rFont val="Verdana"/>
      </rPr>
      <t>).(1+r</t>
    </r>
    <r>
      <rPr>
        <b/>
        <vertAlign val="subscript"/>
        <sz val="10"/>
        <color indexed="18"/>
        <rFont val="Verdana"/>
      </rPr>
      <t>2</t>
    </r>
    <r>
      <rPr>
        <b/>
        <sz val="10"/>
        <color indexed="18"/>
        <rFont val="Verdana"/>
      </rPr>
      <t>).(1+r</t>
    </r>
    <r>
      <rPr>
        <b/>
        <vertAlign val="subscript"/>
        <sz val="10"/>
        <color indexed="18"/>
        <rFont val="Verdana"/>
      </rPr>
      <t>3</t>
    </r>
    <r>
      <rPr>
        <b/>
        <sz val="10"/>
        <color indexed="18"/>
        <rFont val="Verdana"/>
      </rPr>
      <t>)…. .(1+r</t>
    </r>
    <r>
      <rPr>
        <b/>
        <vertAlign val="subscript"/>
        <sz val="10"/>
        <color indexed="18"/>
        <rFont val="Verdana"/>
      </rPr>
      <t>n</t>
    </r>
    <r>
      <rPr>
        <b/>
        <sz val="10"/>
        <color indexed="18"/>
        <rFont val="Verdana"/>
      </rPr>
      <t>)</t>
    </r>
    <r>
      <rPr>
        <sz val="10"/>
        <color indexed="10"/>
        <rFont val="Verdana"/>
      </rPr>
      <t xml:space="preserve">   </t>
    </r>
    <r>
      <rPr>
        <sz val="8"/>
        <rFont val="Verdana"/>
      </rPr>
      <t>at floating interest rate</t>
    </r>
  </si>
  <si>
    <t>Pay day loans</t>
  </si>
  <si>
    <t>Interest (%/day)*</t>
  </si>
  <si>
    <t>APR=</t>
  </si>
  <si>
    <t>Duration (days)</t>
  </si>
  <si>
    <t>*less than 0.8%/day</t>
  </si>
  <si>
    <t>restricted</t>
  </si>
  <si>
    <t>Fees**</t>
  </si>
  <si>
    <t>** up to £24/£100 borrowed</t>
  </si>
  <si>
    <t>Charges***</t>
  </si>
  <si>
    <t>*** £15 at default</t>
  </si>
  <si>
    <t>Amount borrowed £</t>
  </si>
  <si>
    <t>Notes</t>
  </si>
  <si>
    <t>Total amount repaid****</t>
  </si>
  <si>
    <t>**** limited to 2x borrowed amount</t>
  </si>
  <si>
    <t>Credit Cards</t>
  </si>
  <si>
    <t>Credit (borrowed amount) £</t>
  </si>
  <si>
    <t>Credit limit</t>
  </si>
  <si>
    <t>* from 20 to 55 days (not on cash credit)</t>
  </si>
  <si>
    <t>** Annual Percentage Rate</t>
  </si>
  <si>
    <t>Interest free period* days</t>
  </si>
  <si>
    <t>monthly % =</t>
  </si>
  <si>
    <t>Daily % =</t>
  </si>
  <si>
    <t>Annual fee £</t>
  </si>
  <si>
    <t>Default charge £</t>
  </si>
  <si>
    <t>Advance charge (cash fee) %</t>
  </si>
  <si>
    <t>Total payment within interest free period £</t>
  </si>
  <si>
    <t>annual fee to be added</t>
  </si>
  <si>
    <t>Total payment if only minimum payment</t>
  </si>
  <si>
    <t>Total payment if only minimum payment on cash</t>
  </si>
  <si>
    <t>*** £5 min or 1% to 3% of balance + interest current month</t>
  </si>
  <si>
    <t>APR on purchases** %</t>
  </si>
  <si>
    <t>APR on cash advance** %</t>
  </si>
  <si>
    <t>Amount due cash advance</t>
  </si>
  <si>
    <t>Note: Balance end of month</t>
  </si>
  <si>
    <t>Month</t>
  </si>
  <si>
    <t>Min Monthly payment</t>
  </si>
  <si>
    <t>Interest paid</t>
  </si>
  <si>
    <t>Interest paid until full repayment</t>
  </si>
  <si>
    <t>Total payment</t>
  </si>
  <si>
    <t>Min repayment Interest</t>
  </si>
  <si>
    <t>12 repayment Interest</t>
  </si>
  <si>
    <t>12 monthly payment</t>
  </si>
  <si>
    <t>Minimum repayment interest***</t>
  </si>
  <si>
    <t>Nominal interest rate and inflation</t>
  </si>
  <si>
    <r>
      <t>r</t>
    </r>
    <r>
      <rPr>
        <sz val="6"/>
        <rFont val="Verdana"/>
      </rPr>
      <t>real</t>
    </r>
    <r>
      <rPr>
        <sz val="10"/>
        <rFont val="Verdana"/>
      </rPr>
      <t xml:space="preserve"> </t>
    </r>
    <r>
      <rPr>
        <sz val="8"/>
        <rFont val="Verdana"/>
      </rPr>
      <t>real rate</t>
    </r>
  </si>
  <si>
    <r>
      <t>i</t>
    </r>
    <r>
      <rPr>
        <sz val="8"/>
        <rFont val="Verdana"/>
      </rPr>
      <t xml:space="preserve"> inflation rate</t>
    </r>
  </si>
  <si>
    <r>
      <t>(1+r</t>
    </r>
    <r>
      <rPr>
        <sz val="6"/>
        <rFont val="Verdana"/>
      </rPr>
      <t>real</t>
    </r>
    <r>
      <rPr>
        <sz val="10"/>
        <rFont val="Verdana"/>
      </rPr>
      <t>) = (1+r)/(1+i)</t>
    </r>
  </si>
  <si>
    <t>Self amortising loan</t>
  </si>
  <si>
    <t>Loan £</t>
  </si>
  <si>
    <t>Interest rate %</t>
  </si>
  <si>
    <t>Tenor y</t>
  </si>
  <si>
    <t>Grace period y</t>
  </si>
  <si>
    <t>IDC* capitalised</t>
  </si>
  <si>
    <t>*Interest During Construction</t>
  </si>
  <si>
    <t>Loan principal remaining</t>
  </si>
  <si>
    <t>Loan</t>
  </si>
  <si>
    <t>Loan principal payment</t>
  </si>
  <si>
    <t>Loan interest payment</t>
  </si>
  <si>
    <t>Total interest paid</t>
  </si>
  <si>
    <t>Note: end of year transactions</t>
  </si>
  <si>
    <t>IDC</t>
  </si>
  <si>
    <t>DSCR</t>
  </si>
  <si>
    <t>Scenario Equity</t>
  </si>
  <si>
    <t>Project cost</t>
  </si>
  <si>
    <t>Equity</t>
  </si>
  <si>
    <t>Mezz Loan*</t>
  </si>
  <si>
    <t>Senior Loan**</t>
  </si>
  <si>
    <t>Tenor (Y)</t>
  </si>
  <si>
    <t>*  Senior loan interest</t>
  </si>
  <si>
    <t>**Mezz loan interest</t>
  </si>
  <si>
    <t>Revenue</t>
  </si>
  <si>
    <t>Loan service Mezz</t>
  </si>
  <si>
    <t>Loan service Senior</t>
  </si>
  <si>
    <t>Dividends</t>
  </si>
  <si>
    <t>Nominal returns</t>
  </si>
  <si>
    <t>Annual return %</t>
  </si>
  <si>
    <t>Discounted returns @10%</t>
  </si>
  <si>
    <t>Annual return%</t>
  </si>
  <si>
    <t>IRR on equity</t>
  </si>
  <si>
    <t>Scenario Debt 1</t>
  </si>
  <si>
    <t>Scenario Debt 2</t>
  </si>
  <si>
    <t>Mortgage repayment</t>
  </si>
  <si>
    <t>Balance</t>
  </si>
  <si>
    <t>Period payments</t>
  </si>
  <si>
    <t>Total</t>
  </si>
  <si>
    <t>Principal paid</t>
  </si>
  <si>
    <t>Formulae for calculation of compounded interest on deposit</t>
  </si>
  <si>
    <t xml:space="preserve">Interest only </t>
  </si>
  <si>
    <t>Interest %</t>
  </si>
  <si>
    <t>Repayment</t>
  </si>
  <si>
    <t>Loan Principal repayment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</si>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</sst>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0.0%"/>
    <numFmt numFmtId="165" formatCode="&quot;£&quot;#,##0.00"/>
    <numFmt numFmtId="166" formatCode="&quot;£&quot;#,##0"/>
    <numFmt numFmtId="167" formatCode="_-[$£-809]* #,##0.00_-;\-[$£-809]* #,##0.00_-;_-[$£-809]* &quot;-&quot;??_-;_-@_-"/>
    <numFmt numFmtId="168" formatCode="0.000%"/>
    <numFmt numFmtId="169" formatCode="0.0000%"/>
    <numFmt numFmtId="170" formatCode="_-* #,##0_-;\-* #,##0_-;_-* &quot;-&quot;??_-;_-@_-"/>
    <numFmt numFmtId="171" formatCode="#,##0_ ;\-#,##0\ "/>
  </numFmts>
  <fonts count="19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8"/>
      <name val="Verdana"/>
    </font>
    <font>
      <sz val="10"/>
      <color indexed="10"/>
      <name val="Verdana"/>
    </font>
    <font>
      <b/>
      <sz val="12"/>
      <name val="Times New Roman"/>
    </font>
    <font>
      <b/>
      <sz val="10"/>
      <color indexed="18"/>
      <name val="Verdana"/>
    </font>
    <font>
      <b/>
      <vertAlign val="subscript"/>
      <sz val="10"/>
      <color indexed="18"/>
      <name val="Verdana"/>
    </font>
    <font>
      <b/>
      <vertAlign val="superscript"/>
      <sz val="10"/>
      <color indexed="18"/>
      <name val="Verdana"/>
    </font>
    <font>
      <vertAlign val="subscript"/>
      <sz val="8"/>
      <name val="Verdana"/>
    </font>
    <font>
      <b/>
      <vertAlign val="subscript"/>
      <sz val="8"/>
      <name val="Verdana"/>
    </font>
    <font>
      <b/>
      <sz val="12"/>
      <color theme="1"/>
      <name val="Calibri"/>
      <family val="2"/>
      <scheme val="minor"/>
    </font>
    <font>
      <sz val="10"/>
      <color rgb="FF0000FF"/>
      <name val="Verdana"/>
    </font>
    <font>
      <b/>
      <sz val="10"/>
      <color rgb="FF000080"/>
      <name val="Verdana"/>
    </font>
    <font>
      <sz val="6"/>
      <name val="Verdana"/>
    </font>
    <font>
      <sz val="12"/>
      <color rgb="FF0000FF"/>
      <name val="Calibri"/>
      <scheme val="minor"/>
    </font>
    <font>
      <b/>
      <sz val="10"/>
      <color rgb="FF800000"/>
      <name val="Verdana"/>
    </font>
    <font>
      <b/>
      <sz val="10"/>
      <color rgb="FF0000FF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10" fontId="0" fillId="0" borderId="0" xfId="2" applyNumberFormat="1" applyFont="1"/>
    <xf numFmtId="10" fontId="0" fillId="0" borderId="0" xfId="0" applyNumberFormat="1"/>
    <xf numFmtId="0" fontId="1" fillId="0" borderId="0" xfId="0" applyFont="1"/>
    <xf numFmtId="9" fontId="0" fillId="0" borderId="0" xfId="0" applyNumberFormat="1"/>
    <xf numFmtId="166" fontId="0" fillId="0" borderId="0" xfId="0" applyNumberFormat="1"/>
    <xf numFmtId="166" fontId="1" fillId="0" borderId="0" xfId="0" applyNumberFormat="1" applyFont="1"/>
    <xf numFmtId="3" fontId="0" fillId="0" borderId="0" xfId="0" applyNumberFormat="1"/>
    <xf numFmtId="166" fontId="13" fillId="0" borderId="0" xfId="0" applyNumberFormat="1" applyFont="1"/>
    <xf numFmtId="10" fontId="13" fillId="0" borderId="0" xfId="0" applyNumberFormat="1" applyFont="1"/>
    <xf numFmtId="0" fontId="13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167" fontId="1" fillId="0" borderId="0" xfId="0" applyNumberFormat="1" applyFont="1"/>
    <xf numFmtId="10" fontId="1" fillId="0" borderId="0" xfId="2" applyNumberFormat="1" applyFont="1"/>
    <xf numFmtId="0" fontId="12" fillId="0" borderId="0" xfId="0" applyFont="1"/>
    <xf numFmtId="0" fontId="0" fillId="0" borderId="0" xfId="0" applyAlignment="1">
      <alignment horizontal="right"/>
    </xf>
    <xf numFmtId="9" fontId="0" fillId="0" borderId="0" xfId="2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8" fontId="0" fillId="0" borderId="0" xfId="0" applyNumberFormat="1" applyAlignment="1">
      <alignment horizontal="left"/>
    </xf>
    <xf numFmtId="164" fontId="0" fillId="0" borderId="0" xfId="2" applyNumberFormat="1" applyFont="1"/>
    <xf numFmtId="168" fontId="0" fillId="0" borderId="0" xfId="2" applyNumberFormat="1" applyFont="1"/>
    <xf numFmtId="169" fontId="0" fillId="0" borderId="0" xfId="2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6" fontId="0" fillId="0" borderId="0" xfId="0" applyNumberFormat="1"/>
    <xf numFmtId="2" fontId="0" fillId="0" borderId="0" xfId="0" applyNumberFormat="1"/>
    <xf numFmtId="8" fontId="0" fillId="0" borderId="0" xfId="0" applyNumberFormat="1"/>
    <xf numFmtId="170" fontId="0" fillId="0" borderId="0" xfId="1" applyNumberFormat="1" applyFont="1"/>
    <xf numFmtId="3" fontId="2" fillId="0" borderId="0" xfId="0" applyNumberFormat="1" applyFont="1"/>
    <xf numFmtId="0" fontId="17" fillId="0" borderId="0" xfId="0" applyFont="1"/>
    <xf numFmtId="164" fontId="17" fillId="0" borderId="0" xfId="0" applyNumberFormat="1" applyFont="1"/>
    <xf numFmtId="9" fontId="17" fillId="0" borderId="0" xfId="0" applyNumberFormat="1" applyFont="1"/>
    <xf numFmtId="171" fontId="0" fillId="0" borderId="0" xfId="1" applyNumberFormat="1" applyFont="1"/>
    <xf numFmtId="166" fontId="13" fillId="0" borderId="0" xfId="0" applyNumberFormat="1" applyFont="1" applyProtection="1">
      <protection locked="0"/>
    </xf>
    <xf numFmtId="9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3" fontId="16" fillId="0" borderId="0" xfId="0" applyNumberFormat="1" applyFont="1" applyProtection="1">
      <protection locked="0"/>
    </xf>
    <xf numFmtId="9" fontId="16" fillId="0" borderId="0" xfId="0" applyNumberFormat="1" applyFont="1" applyProtection="1">
      <protection locked="0"/>
    </xf>
    <xf numFmtId="6" fontId="13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8" fontId="13" fillId="0" borderId="0" xfId="0" applyNumberFormat="1" applyFont="1" applyProtection="1">
      <protection locked="0"/>
    </xf>
    <xf numFmtId="10" fontId="18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0" fontId="13" fillId="0" borderId="0" xfId="0" applyNumberFormat="1" applyFont="1" applyProtection="1">
      <protection locked="0"/>
    </xf>
    <xf numFmtId="10" fontId="13" fillId="0" borderId="0" xfId="2" applyNumberFormat="1" applyFont="1" applyProtection="1">
      <protection locked="0"/>
    </xf>
    <xf numFmtId="10" fontId="1" fillId="0" borderId="0" xfId="2" applyNumberFormat="1" applyFont="1" applyProtection="1"/>
    <xf numFmtId="167" fontId="13" fillId="0" borderId="0" xfId="0" applyNumberFormat="1" applyFont="1" applyProtection="1">
      <protection locked="0"/>
    </xf>
    <xf numFmtId="43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36701662292205E-2"/>
          <c:y val="2.7777777777777801E-2"/>
          <c:w val="0.61114457567804004"/>
          <c:h val="0.82246937882764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mortgage!$A$24</c:f>
              <c:strCache>
                <c:ptCount val="1"/>
                <c:pt idx="0">
                  <c:v>Principal paid</c:v>
                </c:pt>
              </c:strCache>
            </c:strRef>
          </c:tx>
          <c:invertIfNegative val="0"/>
          <c:val>
            <c:numRef>
              <c:f>mortgage!$B$24:$AA$24</c:f>
              <c:numCache>
                <c:formatCode>"£"#,##0</c:formatCode>
                <c:ptCount val="26"/>
                <c:pt idx="1">
                  <c:v>1822.6718212273991</c:v>
                </c:pt>
                <c:pt idx="2">
                  <c:v>1932.0321305010439</c:v>
                </c:pt>
                <c:pt idx="3">
                  <c:v>2047.9540583311027</c:v>
                </c:pt>
                <c:pt idx="4">
                  <c:v>2170.8313018309564</c:v>
                </c:pt>
                <c:pt idx="5">
                  <c:v>2301.0811799408257</c:v>
                </c:pt>
                <c:pt idx="6">
                  <c:v>2439.1460507372976</c:v>
                </c:pt>
                <c:pt idx="7">
                  <c:v>2585.4948137815227</c:v>
                </c:pt>
                <c:pt idx="8">
                  <c:v>2740.6245026083925</c:v>
                </c:pt>
                <c:pt idx="9">
                  <c:v>2905.0619727649027</c:v>
                </c:pt>
                <c:pt idx="10">
                  <c:v>3079.3656911308208</c:v>
                </c:pt>
                <c:pt idx="11">
                  <c:v>3264.1276325986546</c:v>
                </c:pt>
                <c:pt idx="12">
                  <c:v>3459.9752905545611</c:v>
                </c:pt>
                <c:pt idx="13">
                  <c:v>3667.5738079878647</c:v>
                </c:pt>
                <c:pt idx="14">
                  <c:v>3887.6282364670988</c:v>
                </c:pt>
                <c:pt idx="15">
                  <c:v>4120.8859306551676</c:v>
                </c:pt>
                <c:pt idx="16">
                  <c:v>4368.1390864944333</c:v>
                </c:pt>
                <c:pt idx="17">
                  <c:v>4630.2274316841285</c:v>
                </c:pt>
                <c:pt idx="18">
                  <c:v>4908.0410775851633</c:v>
                </c:pt>
                <c:pt idx="19">
                  <c:v>5202.5235422402839</c:v>
                </c:pt>
                <c:pt idx="20">
                  <c:v>5514.6749547746949</c:v>
                </c:pt>
                <c:pt idx="21">
                  <c:v>5845.5554520611913</c:v>
                </c:pt>
                <c:pt idx="22">
                  <c:v>6196.288779184848</c:v>
                </c:pt>
                <c:pt idx="23">
                  <c:v>6568.0661059359536</c:v>
                </c:pt>
                <c:pt idx="24">
                  <c:v>6962.1500722920782</c:v>
                </c:pt>
                <c:pt idx="25">
                  <c:v>7379.8790766296142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C-4078-ACA9-4873C76AD1C5}"/>
            </c:ext>
          </c:extLst>
        </c:ser>
        <c:ser>
          <c:idx val="1"/>
          <c:order val="1"/>
          <c:tx>
            <c:strRef>
              <c:f>mortgage!$A$25</c:f>
              <c:strCache>
                <c:ptCount val="1"/>
                <c:pt idx="0">
                  <c:v>Interest paid</c:v>
                </c:pt>
              </c:strCache>
            </c:strRef>
          </c:tx>
          <c:invertIfNegative val="0"/>
          <c:val>
            <c:numRef>
              <c:f>mortgage!$B$25:$AA$25</c:f>
              <c:numCache>
                <c:formatCode>"£"#,##0</c:formatCode>
                <c:ptCount val="26"/>
                <c:pt idx="1">
                  <c:v>5908.944996598806</c:v>
                </c:pt>
                <c:pt idx="2">
                  <c:v>5799.5846873251612</c:v>
                </c:pt>
                <c:pt idx="3">
                  <c:v>5683.6627594951024</c:v>
                </c:pt>
                <c:pt idx="4">
                  <c:v>5560.7855159952487</c:v>
                </c:pt>
                <c:pt idx="5">
                  <c:v>5430.5356378853794</c:v>
                </c:pt>
                <c:pt idx="6">
                  <c:v>5292.4707670889075</c:v>
                </c:pt>
                <c:pt idx="7">
                  <c:v>5146.1220040446824</c:v>
                </c:pt>
                <c:pt idx="8">
                  <c:v>4990.9923152178126</c:v>
                </c:pt>
                <c:pt idx="9">
                  <c:v>4826.5548450613023</c:v>
                </c:pt>
                <c:pt idx="10">
                  <c:v>4652.2511266953843</c:v>
                </c:pt>
                <c:pt idx="11">
                  <c:v>4467.4891852275505</c:v>
                </c:pt>
                <c:pt idx="12">
                  <c:v>4271.641527271644</c:v>
                </c:pt>
                <c:pt idx="13">
                  <c:v>4064.0430098383404</c:v>
                </c:pt>
                <c:pt idx="14">
                  <c:v>3843.9885813591063</c:v>
                </c:pt>
                <c:pt idx="15">
                  <c:v>3610.7308871710375</c:v>
                </c:pt>
                <c:pt idx="16">
                  <c:v>3363.4777313317718</c:v>
                </c:pt>
                <c:pt idx="17">
                  <c:v>3101.3893861420765</c:v>
                </c:pt>
                <c:pt idx="18">
                  <c:v>2823.5757402410418</c:v>
                </c:pt>
                <c:pt idx="19">
                  <c:v>2529.0932755859212</c:v>
                </c:pt>
                <c:pt idx="20">
                  <c:v>2216.9418630515102</c:v>
                </c:pt>
                <c:pt idx="21">
                  <c:v>1886.0613657650138</c:v>
                </c:pt>
                <c:pt idx="22">
                  <c:v>1535.3280386413571</c:v>
                </c:pt>
                <c:pt idx="23">
                  <c:v>1163.5507118902515</c:v>
                </c:pt>
                <c:pt idx="24">
                  <c:v>769.46674553412686</c:v>
                </c:pt>
                <c:pt idx="25">
                  <c:v>351.73774119659083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C-4078-ACA9-4873C76AD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632504"/>
        <c:axId val="329591976"/>
      </c:barChart>
      <c:catAx>
        <c:axId val="329632504"/>
        <c:scaling>
          <c:orientation val="minMax"/>
        </c:scaling>
        <c:delete val="0"/>
        <c:axPos val="b"/>
        <c:majorTickMark val="out"/>
        <c:minorTickMark val="none"/>
        <c:tickLblPos val="nextTo"/>
        <c:crossAx val="329591976"/>
        <c:crosses val="autoZero"/>
        <c:auto val="1"/>
        <c:lblAlgn val="ctr"/>
        <c:lblOffset val="100"/>
        <c:noMultiLvlLbl val="0"/>
      </c:catAx>
      <c:valAx>
        <c:axId val="329591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9632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96052424623698E-2"/>
          <c:y val="7.8703703703703706E-2"/>
          <c:w val="0.75301481344936305"/>
          <c:h val="0.82246937882764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'Self amortising'!$B$25</c:f>
              <c:strCache>
                <c:ptCount val="1"/>
                <c:pt idx="0">
                  <c:v>Loan principal payment</c:v>
                </c:pt>
              </c:strCache>
            </c:strRef>
          </c:tx>
          <c:invertIfNegative val="0"/>
          <c:val>
            <c:numRef>
              <c:f>'Self amortising'!$C$25:$R$25</c:f>
              <c:numCache>
                <c:formatCode>"£"#,##0_);[Red]\("£"#,##0\)</c:formatCode>
                <c:ptCount val="16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4-42E2-839D-607D8A4FAAD4}"/>
            </c:ext>
          </c:extLst>
        </c:ser>
        <c:ser>
          <c:idx val="1"/>
          <c:order val="1"/>
          <c:tx>
            <c:strRef>
              <c:f>'Self amortising'!$B$26</c:f>
              <c:strCache>
                <c:ptCount val="1"/>
                <c:pt idx="0">
                  <c:v>Loan interest payment</c:v>
                </c:pt>
              </c:strCache>
            </c:strRef>
          </c:tx>
          <c:invertIfNegative val="0"/>
          <c:val>
            <c:numRef>
              <c:f>'Self amortising'!$C$26:$R$26</c:f>
              <c:numCache>
                <c:formatCode>"£"#,##0_);[Red]\("£"#,##0\)</c:formatCode>
                <c:ptCount val="16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4-42E2-839D-607D8A4FA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788600"/>
        <c:axId val="336892552"/>
      </c:barChart>
      <c:catAx>
        <c:axId val="329788600"/>
        <c:scaling>
          <c:orientation val="minMax"/>
        </c:scaling>
        <c:delete val="0"/>
        <c:axPos val="b"/>
        <c:majorTickMark val="out"/>
        <c:minorTickMark val="none"/>
        <c:tickLblPos val="nextTo"/>
        <c:crossAx val="336892552"/>
        <c:crosses val="autoZero"/>
        <c:auto val="1"/>
        <c:lblAlgn val="ctr"/>
        <c:lblOffset val="100"/>
        <c:noMultiLvlLbl val="0"/>
      </c:catAx>
      <c:valAx>
        <c:axId val="336892552"/>
        <c:scaling>
          <c:orientation val="minMax"/>
          <c:max val="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9788600"/>
        <c:crossesAt val="1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'interest only'!$B$15</c:f>
              <c:strCache>
                <c:ptCount val="1"/>
                <c:pt idx="0">
                  <c:v>Loan Principal repayment</c:v>
                </c:pt>
              </c:strCache>
            </c:strRef>
          </c:tx>
          <c:invertIfNegative val="0"/>
          <c:val>
            <c:numRef>
              <c:f>'interest only'!$C$15:$R$15</c:f>
              <c:numCache>
                <c:formatCode>General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A-404C-8F47-EBADF24412DF}"/>
            </c:ext>
          </c:extLst>
        </c:ser>
        <c:ser>
          <c:idx val="1"/>
          <c:order val="1"/>
          <c:tx>
            <c:strRef>
              <c:f>'interest only'!$B$16</c:f>
              <c:strCache>
                <c:ptCount val="1"/>
                <c:pt idx="0">
                  <c:v>Loan interest payment</c:v>
                </c:pt>
              </c:strCache>
            </c:strRef>
          </c:tx>
          <c:invertIfNegative val="0"/>
          <c:val>
            <c:numRef>
              <c:f>'interest only'!$C$16:$R$16</c:f>
              <c:numCache>
                <c:formatCode>"£"#,##0</c:formatCode>
                <c:ptCount val="16"/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A-404C-8F47-EBADF2441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463528"/>
        <c:axId val="376456568"/>
      </c:barChart>
      <c:catAx>
        <c:axId val="376463528"/>
        <c:scaling>
          <c:orientation val="minMax"/>
        </c:scaling>
        <c:delete val="0"/>
        <c:axPos val="b"/>
        <c:majorTickMark val="out"/>
        <c:minorTickMark val="none"/>
        <c:tickLblPos val="nextTo"/>
        <c:crossAx val="376456568"/>
        <c:crosses val="autoZero"/>
        <c:auto val="1"/>
        <c:lblAlgn val="ctr"/>
        <c:lblOffset val="100"/>
        <c:noMultiLvlLbl val="0"/>
      </c:catAx>
      <c:valAx>
        <c:axId val="376456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6463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507999</xdr:colOff>
      <xdr:row>2</xdr:row>
      <xdr:rowOff>80433</xdr:rowOff>
    </xdr:from>
    <xdr:to>
      <xdr:col>18</xdr:col>
      <xdr:colOff>194733</xdr:colOff>
      <xdr:row>18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2</xdr:row>
      <xdr:rowOff>29634</xdr:rowOff>
    </xdr:from>
    <xdr:to>
      <xdr:col>12</xdr:col>
      <xdr:colOff>948266</xdr:colOff>
      <xdr:row>18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922866</xdr:colOff>
      <xdr:row>17</xdr:row>
      <xdr:rowOff>88901</xdr:rowOff>
    </xdr:from>
    <xdr:to>
      <xdr:col>11</xdr:col>
      <xdr:colOff>169333</xdr:colOff>
      <xdr:row>33</xdr:row>
      <xdr:rowOff>122768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5"/>
  <sheetViews>
    <sheetView tabSelected="1" zoomScale="150" workbookViewId="0">
      <selection activeCell="C6" sqref="C6"/>
    </sheetView>
  </sheetViews>
  <sheetFormatPr defaultColWidth="11" defaultRowHeight="12.75" x14ac:dyDescent="0.2"/>
  <cols>
    <col min="1" max="1" width="16" customWidth="1"/>
    <col min="2" max="2" width="19" customWidth="1"/>
    <col min="5" max="5" width="32.875" customWidth="1"/>
  </cols>
  <sheetData>
    <row r="3" spans="1:6" x14ac:dyDescent="0.2">
      <c r="B3" s="3" t="s">
        <v>6</v>
      </c>
      <c r="E3" s="3"/>
    </row>
    <row r="5" spans="1:6" x14ac:dyDescent="0.2">
      <c r="B5" t="s">
        <v>5</v>
      </c>
      <c r="C5" s="49">
        <v>7.0000000000000007E-2</v>
      </c>
      <c r="E5" s="3"/>
      <c r="F5" s="5"/>
    </row>
    <row r="6" spans="1:6" x14ac:dyDescent="0.2">
      <c r="B6" t="s">
        <v>4</v>
      </c>
      <c r="C6" s="41">
        <v>12</v>
      </c>
      <c r="E6" s="3"/>
      <c r="F6" s="4"/>
    </row>
    <row r="7" spans="1:6" x14ac:dyDescent="0.2">
      <c r="B7" t="s">
        <v>7</v>
      </c>
      <c r="C7" s="1">
        <f>(1+C5/C6)^C6-1</f>
        <v>7.2290080856235894E-2</v>
      </c>
      <c r="E7" s="3"/>
    </row>
    <row r="8" spans="1:6" x14ac:dyDescent="0.2">
      <c r="F8" s="6"/>
    </row>
    <row r="10" spans="1:6" x14ac:dyDescent="0.2">
      <c r="A10" s="3"/>
      <c r="B10" s="3" t="s">
        <v>84</v>
      </c>
      <c r="E10" s="3"/>
    </row>
    <row r="12" spans="1:6" x14ac:dyDescent="0.2">
      <c r="B12" s="2" t="s">
        <v>5</v>
      </c>
      <c r="C12" s="49">
        <v>0.02</v>
      </c>
      <c r="F12" s="5"/>
    </row>
    <row r="13" spans="1:6" x14ac:dyDescent="0.2">
      <c r="B13" s="1" t="s">
        <v>86</v>
      </c>
      <c r="C13" s="49">
        <v>5.0000000000000001E-3</v>
      </c>
      <c r="F13" s="4"/>
    </row>
    <row r="15" spans="1:6" x14ac:dyDescent="0.2">
      <c r="B15" t="s">
        <v>85</v>
      </c>
      <c r="C15" s="1">
        <f>(1+C12)/(1+C13)-1</f>
        <v>1.4925373134328401E-2</v>
      </c>
    </row>
    <row r="16" spans="1:6" x14ac:dyDescent="0.2">
      <c r="B16" s="1" t="s">
        <v>87</v>
      </c>
      <c r="F16" s="6"/>
    </row>
    <row r="18" spans="5:6" x14ac:dyDescent="0.2">
      <c r="E18" s="3"/>
    </row>
    <row r="20" spans="5:6" x14ac:dyDescent="0.2">
      <c r="F20" s="5"/>
    </row>
    <row r="21" spans="5:6" x14ac:dyDescent="0.2">
      <c r="F21" s="4"/>
    </row>
    <row r="25" spans="5:6" x14ac:dyDescent="0.2">
      <c r="F25" s="6"/>
    </row>
  </sheetData>
  <sheetProtection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S69"/>
  <sheetViews>
    <sheetView workbookViewId="0">
      <selection activeCell="D50" sqref="D50:D53"/>
    </sheetView>
  </sheetViews>
  <sheetFormatPr defaultColWidth="11" defaultRowHeight="12.75" x14ac:dyDescent="0.2"/>
  <cols>
    <col min="1" max="1" width="1.625" customWidth="1"/>
    <col min="2" max="2" width="13.25" customWidth="1"/>
    <col min="3" max="3" width="19.25" customWidth="1"/>
    <col min="5" max="5" width="9.375" bestFit="1" customWidth="1"/>
  </cols>
  <sheetData>
    <row r="2" spans="2:19" ht="15.75" x14ac:dyDescent="0.25">
      <c r="B2" s="18" t="s">
        <v>103</v>
      </c>
      <c r="C2" t="s">
        <v>1</v>
      </c>
      <c r="D2">
        <v>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</row>
    <row r="3" spans="2:19" ht="15.75" x14ac:dyDescent="0.25">
      <c r="C3" t="s">
        <v>104</v>
      </c>
      <c r="D3" s="42">
        <v>150000</v>
      </c>
    </row>
    <row r="4" spans="2:19" ht="15.75" x14ac:dyDescent="0.25">
      <c r="C4" t="s">
        <v>105</v>
      </c>
      <c r="D4" s="42">
        <v>150000</v>
      </c>
    </row>
    <row r="5" spans="2:19" ht="15.75" x14ac:dyDescent="0.25">
      <c r="C5" t="s">
        <v>106</v>
      </c>
      <c r="D5" s="42">
        <f>D3-D4</f>
        <v>0</v>
      </c>
    </row>
    <row r="6" spans="2:19" ht="15.75" x14ac:dyDescent="0.25">
      <c r="C6" t="s">
        <v>107</v>
      </c>
      <c r="D6" s="42">
        <f>D3-D4-D5</f>
        <v>0</v>
      </c>
    </row>
    <row r="7" spans="2:19" ht="15.75" x14ac:dyDescent="0.25">
      <c r="C7" t="s">
        <v>108</v>
      </c>
      <c r="D7" s="42">
        <v>7</v>
      </c>
    </row>
    <row r="8" spans="2:19" ht="15.75" x14ac:dyDescent="0.25">
      <c r="C8" t="s">
        <v>109</v>
      </c>
      <c r="D8" s="43">
        <v>7.0000000000000007E-2</v>
      </c>
    </row>
    <row r="9" spans="2:19" ht="15.75" x14ac:dyDescent="0.25">
      <c r="C9" t="s">
        <v>110</v>
      </c>
      <c r="D9" s="43">
        <v>0.12</v>
      </c>
    </row>
    <row r="11" spans="2:19" x14ac:dyDescent="0.2">
      <c r="C11" t="s">
        <v>111</v>
      </c>
      <c r="E11" s="7">
        <v>31940</v>
      </c>
      <c r="F11" s="7">
        <v>31940</v>
      </c>
      <c r="G11" s="7">
        <v>31940</v>
      </c>
      <c r="H11" s="7">
        <v>31940</v>
      </c>
      <c r="I11" s="7">
        <v>31940</v>
      </c>
      <c r="J11" s="7">
        <v>31940</v>
      </c>
      <c r="K11" s="7">
        <v>31940</v>
      </c>
      <c r="L11" s="7">
        <v>31940</v>
      </c>
      <c r="M11" s="7">
        <v>31940</v>
      </c>
      <c r="N11" s="7">
        <v>31940</v>
      </c>
      <c r="O11" s="7">
        <v>31940</v>
      </c>
      <c r="P11" s="7">
        <v>31940</v>
      </c>
      <c r="Q11" s="7">
        <v>31940</v>
      </c>
      <c r="R11" s="7">
        <v>31940</v>
      </c>
      <c r="S11" s="7">
        <v>31940</v>
      </c>
    </row>
    <row r="12" spans="2:19" x14ac:dyDescent="0.2">
      <c r="C12" t="s">
        <v>34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2:19" x14ac:dyDescent="0.2">
      <c r="C13" t="s">
        <v>112</v>
      </c>
      <c r="E13" s="32">
        <f>IF(E2&lt;=$D$7,PMT($D$9,$D$7,$D$5),0)</f>
        <v>0</v>
      </c>
      <c r="F13" s="32">
        <f t="shared" ref="F13:S13" si="0">IF(F2&lt;=$D$7,PMT($D$9,$D$7,$D$5),0)</f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  <c r="S13" s="32">
        <f t="shared" si="0"/>
        <v>0</v>
      </c>
    </row>
    <row r="14" spans="2:19" x14ac:dyDescent="0.2">
      <c r="C14" t="s">
        <v>113</v>
      </c>
      <c r="E14" s="32">
        <f>IF(E2&lt;=$D$7,PMT($D$8,$D$7,$D$6),0)</f>
        <v>0</v>
      </c>
      <c r="F14" s="32">
        <f t="shared" ref="F14:S14" si="1">IF(F2&lt;=$D$7,PMT($D$8,$D$7,$D$6),0)</f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  <c r="Q14" s="32">
        <f t="shared" si="1"/>
        <v>0</v>
      </c>
      <c r="R14" s="32">
        <f t="shared" si="1"/>
        <v>0</v>
      </c>
      <c r="S14" s="32">
        <f t="shared" si="1"/>
        <v>0</v>
      </c>
    </row>
    <row r="15" spans="2:19" x14ac:dyDescent="0.2">
      <c r="C15" t="s">
        <v>114</v>
      </c>
      <c r="E15" s="30">
        <f>E11-E12-E13-E14</f>
        <v>31940</v>
      </c>
      <c r="F15" s="30">
        <f t="shared" ref="F15:N15" si="2">F11-F12-F13-F14</f>
        <v>31940</v>
      </c>
      <c r="G15" s="30">
        <f t="shared" si="2"/>
        <v>31940</v>
      </c>
      <c r="H15" s="30">
        <f t="shared" si="2"/>
        <v>31940</v>
      </c>
      <c r="I15" s="30">
        <f t="shared" si="2"/>
        <v>31940</v>
      </c>
      <c r="J15" s="30">
        <f t="shared" si="2"/>
        <v>31940</v>
      </c>
      <c r="K15" s="30">
        <f t="shared" si="2"/>
        <v>31940</v>
      </c>
      <c r="L15" s="30">
        <f t="shared" si="2"/>
        <v>31940</v>
      </c>
      <c r="M15" s="30">
        <f t="shared" si="2"/>
        <v>31940</v>
      </c>
      <c r="N15" s="30">
        <f t="shared" si="2"/>
        <v>31940</v>
      </c>
      <c r="O15" s="30">
        <f>O11-O12-O13-O14</f>
        <v>31940</v>
      </c>
      <c r="P15" s="30">
        <f>P11-P12-P13-P14</f>
        <v>31940</v>
      </c>
      <c r="Q15" s="30">
        <f>Q11-Q12-Q13-Q14</f>
        <v>31940</v>
      </c>
      <c r="R15" s="30">
        <f>R11-R12-R13-R14</f>
        <v>31940</v>
      </c>
      <c r="S15" s="30">
        <f>S11-S12-S13-S14</f>
        <v>31940</v>
      </c>
    </row>
    <row r="17" spans="2:19" x14ac:dyDescent="0.2">
      <c r="C17" t="s">
        <v>115</v>
      </c>
      <c r="D17" s="7">
        <f>-D4</f>
        <v>-150000</v>
      </c>
      <c r="E17" s="30">
        <f>E15</f>
        <v>31940</v>
      </c>
      <c r="F17" s="30">
        <f t="shared" ref="F17:N17" si="3">F15</f>
        <v>31940</v>
      </c>
      <c r="G17" s="30">
        <f t="shared" si="3"/>
        <v>31940</v>
      </c>
      <c r="H17" s="30">
        <f t="shared" si="3"/>
        <v>31940</v>
      </c>
      <c r="I17" s="30">
        <f t="shared" si="3"/>
        <v>31940</v>
      </c>
      <c r="J17" s="30">
        <f t="shared" si="3"/>
        <v>31940</v>
      </c>
      <c r="K17" s="30">
        <f t="shared" si="3"/>
        <v>31940</v>
      </c>
      <c r="L17" s="30">
        <f t="shared" si="3"/>
        <v>31940</v>
      </c>
      <c r="M17" s="30">
        <f t="shared" si="3"/>
        <v>31940</v>
      </c>
      <c r="N17" s="30">
        <f t="shared" si="3"/>
        <v>31940</v>
      </c>
      <c r="O17" s="30">
        <f>O15</f>
        <v>31940</v>
      </c>
      <c r="P17" s="30">
        <f>P15</f>
        <v>31940</v>
      </c>
      <c r="Q17" s="30">
        <f>Q15</f>
        <v>31940</v>
      </c>
      <c r="R17" s="30">
        <f>R15</f>
        <v>31940</v>
      </c>
      <c r="S17" s="30">
        <f>S15</f>
        <v>31940</v>
      </c>
    </row>
    <row r="18" spans="2:19" x14ac:dyDescent="0.2">
      <c r="D18" s="34">
        <f>SUM(D17:N17)</f>
        <v>169400</v>
      </c>
    </row>
    <row r="19" spans="2:19" x14ac:dyDescent="0.2">
      <c r="C19" t="s">
        <v>116</v>
      </c>
      <c r="D19" s="25">
        <f>AVERAGE(E19:S19)</f>
        <v>0.21293333333333339</v>
      </c>
      <c r="E19" s="25">
        <f>E17/$D$4</f>
        <v>0.21293333333333334</v>
      </c>
      <c r="F19" s="25">
        <f t="shared" ref="F19:S19" si="4">F17/$D$4</f>
        <v>0.21293333333333334</v>
      </c>
      <c r="G19" s="25">
        <f t="shared" si="4"/>
        <v>0.21293333333333334</v>
      </c>
      <c r="H19" s="25">
        <f t="shared" si="4"/>
        <v>0.21293333333333334</v>
      </c>
      <c r="I19" s="25">
        <f t="shared" si="4"/>
        <v>0.21293333333333334</v>
      </c>
      <c r="J19" s="25">
        <f t="shared" si="4"/>
        <v>0.21293333333333334</v>
      </c>
      <c r="K19" s="25">
        <f t="shared" si="4"/>
        <v>0.21293333333333334</v>
      </c>
      <c r="L19" s="25">
        <f t="shared" si="4"/>
        <v>0.21293333333333334</v>
      </c>
      <c r="M19" s="25">
        <f t="shared" si="4"/>
        <v>0.21293333333333334</v>
      </c>
      <c r="N19" s="25">
        <f t="shared" si="4"/>
        <v>0.21293333333333334</v>
      </c>
      <c r="O19" s="25">
        <f t="shared" si="4"/>
        <v>0.21293333333333334</v>
      </c>
      <c r="P19" s="25">
        <f t="shared" si="4"/>
        <v>0.21293333333333334</v>
      </c>
      <c r="Q19" s="25">
        <f t="shared" si="4"/>
        <v>0.21293333333333334</v>
      </c>
      <c r="R19" s="25">
        <f t="shared" si="4"/>
        <v>0.21293333333333334</v>
      </c>
      <c r="S19" s="25">
        <f t="shared" si="4"/>
        <v>0.21293333333333334</v>
      </c>
    </row>
    <row r="21" spans="2:19" x14ac:dyDescent="0.2">
      <c r="C21" t="s">
        <v>117</v>
      </c>
      <c r="D21" s="7">
        <f>-D4</f>
        <v>-150000</v>
      </c>
      <c r="E21" s="33">
        <f t="shared" ref="E21:N21" si="5">E17/(1+10%)^E2</f>
        <v>29036.363636363632</v>
      </c>
      <c r="F21" s="33">
        <f t="shared" si="5"/>
        <v>26396.694214876028</v>
      </c>
      <c r="G21" s="33">
        <f t="shared" si="5"/>
        <v>23996.994740796385</v>
      </c>
      <c r="H21" s="33">
        <f t="shared" si="5"/>
        <v>21815.449764360354</v>
      </c>
      <c r="I21" s="33">
        <f t="shared" si="5"/>
        <v>19832.227058509408</v>
      </c>
      <c r="J21" s="33">
        <f t="shared" si="5"/>
        <v>18029.297325917643</v>
      </c>
      <c r="K21" s="33">
        <f t="shared" si="5"/>
        <v>16390.270296288763</v>
      </c>
      <c r="L21" s="33">
        <f t="shared" si="5"/>
        <v>14900.245723898877</v>
      </c>
      <c r="M21" s="33">
        <f t="shared" si="5"/>
        <v>13545.677930817161</v>
      </c>
      <c r="N21" s="33">
        <f t="shared" si="5"/>
        <v>12314.252664379235</v>
      </c>
      <c r="O21" s="33">
        <f>O17/(1+10%)^O2</f>
        <v>11194.775149435667</v>
      </c>
      <c r="P21" s="33">
        <f>P17/(1+10%)^P2</f>
        <v>10177.068317668789</v>
      </c>
      <c r="Q21" s="33">
        <f>Q17/(1+10%)^Q2</f>
        <v>9251.8802887898073</v>
      </c>
      <c r="R21" s="33">
        <f>R17/(1+10%)^R2</f>
        <v>8410.8002625361878</v>
      </c>
      <c r="S21" s="33">
        <f>S17/(1+10%)^S2</f>
        <v>7646.1820568510793</v>
      </c>
    </row>
    <row r="22" spans="2:19" x14ac:dyDescent="0.2">
      <c r="D22" s="7">
        <f>SUM(D21:N21)</f>
        <v>46257.473356207498</v>
      </c>
    </row>
    <row r="23" spans="2:19" x14ac:dyDescent="0.2">
      <c r="C23" t="s">
        <v>118</v>
      </c>
      <c r="D23" s="25">
        <f>AVERAGE(E23:N23)</f>
        <v>0.130838315570805</v>
      </c>
      <c r="E23" s="25">
        <f>E21/$D$4</f>
        <v>0.19357575757575754</v>
      </c>
      <c r="F23" s="25">
        <f t="shared" ref="F23:S23" si="6">F21/$D$4</f>
        <v>0.17597796143250685</v>
      </c>
      <c r="G23" s="25">
        <f t="shared" si="6"/>
        <v>0.15997996493864255</v>
      </c>
      <c r="H23" s="25">
        <f t="shared" si="6"/>
        <v>0.14543633176240237</v>
      </c>
      <c r="I23" s="25">
        <f t="shared" si="6"/>
        <v>0.1322148470567294</v>
      </c>
      <c r="J23" s="25">
        <f t="shared" si="6"/>
        <v>0.12019531550611762</v>
      </c>
      <c r="K23" s="25">
        <f t="shared" si="6"/>
        <v>0.10926846864192509</v>
      </c>
      <c r="L23" s="25">
        <f t="shared" si="6"/>
        <v>9.9334971492659185E-2</v>
      </c>
      <c r="M23" s="25">
        <f t="shared" si="6"/>
        <v>9.0304519538781075E-2</v>
      </c>
      <c r="N23" s="25">
        <f t="shared" si="6"/>
        <v>8.2095017762528241E-2</v>
      </c>
      <c r="O23" s="25">
        <f t="shared" si="6"/>
        <v>7.4631834329571115E-2</v>
      </c>
      <c r="P23" s="25">
        <f t="shared" si="6"/>
        <v>6.7847122117791925E-2</v>
      </c>
      <c r="Q23" s="25">
        <f t="shared" si="6"/>
        <v>6.1679201925265381E-2</v>
      </c>
      <c r="R23" s="25">
        <f t="shared" si="6"/>
        <v>5.6072001750241254E-2</v>
      </c>
      <c r="S23" s="25">
        <f t="shared" si="6"/>
        <v>5.0974547045673863E-2</v>
      </c>
    </row>
    <row r="24" spans="2:19" x14ac:dyDescent="0.2">
      <c r="C24" s="35" t="s">
        <v>119</v>
      </c>
      <c r="D24" s="36">
        <f>IRR(D17:S17)</f>
        <v>0.1989259017482008</v>
      </c>
    </row>
    <row r="25" spans="2:19" x14ac:dyDescent="0.2">
      <c r="D25" s="4"/>
    </row>
    <row r="27" spans="2:19" ht="15.75" x14ac:dyDescent="0.25">
      <c r="B27" s="18" t="s">
        <v>120</v>
      </c>
      <c r="C27" t="s">
        <v>1</v>
      </c>
      <c r="D27">
        <v>0</v>
      </c>
      <c r="E27">
        <v>1</v>
      </c>
      <c r="F27">
        <v>2</v>
      </c>
      <c r="G27">
        <v>3</v>
      </c>
      <c r="H27">
        <v>4</v>
      </c>
      <c r="I27">
        <v>5</v>
      </c>
      <c r="J27">
        <v>6</v>
      </c>
      <c r="K27">
        <v>7</v>
      </c>
      <c r="L27">
        <v>8</v>
      </c>
      <c r="M27">
        <v>9</v>
      </c>
      <c r="N27">
        <v>10</v>
      </c>
      <c r="O27">
        <v>11</v>
      </c>
      <c r="P27">
        <v>12</v>
      </c>
      <c r="Q27">
        <v>13</v>
      </c>
      <c r="R27">
        <v>14</v>
      </c>
      <c r="S27">
        <v>15</v>
      </c>
    </row>
    <row r="28" spans="2:19" ht="15.75" x14ac:dyDescent="0.25">
      <c r="C28" t="s">
        <v>104</v>
      </c>
      <c r="D28" s="42">
        <v>150000</v>
      </c>
    </row>
    <row r="29" spans="2:19" ht="15.75" x14ac:dyDescent="0.25">
      <c r="C29" t="s">
        <v>105</v>
      </c>
      <c r="D29" s="42">
        <v>30000</v>
      </c>
    </row>
    <row r="30" spans="2:19" ht="15.75" x14ac:dyDescent="0.25">
      <c r="C30" t="s">
        <v>106</v>
      </c>
      <c r="D30" s="42">
        <v>0</v>
      </c>
    </row>
    <row r="31" spans="2:19" ht="15.75" x14ac:dyDescent="0.25">
      <c r="C31" t="s">
        <v>107</v>
      </c>
      <c r="D31" s="42">
        <f>D28-D29-D30</f>
        <v>120000</v>
      </c>
    </row>
    <row r="33" spans="3:19" x14ac:dyDescent="0.2">
      <c r="C33" t="s">
        <v>111</v>
      </c>
      <c r="E33" s="7">
        <f t="shared" ref="E33:S33" si="7">E11</f>
        <v>31940</v>
      </c>
      <c r="F33" s="7">
        <f t="shared" si="7"/>
        <v>31940</v>
      </c>
      <c r="G33" s="7">
        <f t="shared" si="7"/>
        <v>31940</v>
      </c>
      <c r="H33" s="7">
        <f t="shared" si="7"/>
        <v>31940</v>
      </c>
      <c r="I33" s="7">
        <f t="shared" si="7"/>
        <v>31940</v>
      </c>
      <c r="J33" s="7">
        <f t="shared" si="7"/>
        <v>31940</v>
      </c>
      <c r="K33" s="7">
        <f t="shared" si="7"/>
        <v>31940</v>
      </c>
      <c r="L33" s="7">
        <f t="shared" si="7"/>
        <v>31940</v>
      </c>
      <c r="M33" s="7">
        <f t="shared" si="7"/>
        <v>31940</v>
      </c>
      <c r="N33" s="7">
        <f t="shared" si="7"/>
        <v>31940</v>
      </c>
      <c r="O33" s="7">
        <f t="shared" si="7"/>
        <v>31940</v>
      </c>
      <c r="P33" s="7">
        <f t="shared" si="7"/>
        <v>31940</v>
      </c>
      <c r="Q33" s="7">
        <f t="shared" si="7"/>
        <v>31940</v>
      </c>
      <c r="R33" s="7">
        <f t="shared" si="7"/>
        <v>31940</v>
      </c>
      <c r="S33" s="7">
        <f t="shared" si="7"/>
        <v>31940</v>
      </c>
    </row>
    <row r="34" spans="3:19" x14ac:dyDescent="0.2">
      <c r="C34" t="s">
        <v>34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3:19" x14ac:dyDescent="0.2">
      <c r="C35" t="s">
        <v>112</v>
      </c>
      <c r="E35" s="30">
        <f>IF(E2&lt;=$D$7,PMT($D$9,$D$7,$D$30),0)</f>
        <v>0</v>
      </c>
      <c r="F35" s="30">
        <f t="shared" ref="F35:S35" si="8">IF(F2&lt;=$D$7,PMT($D$9,$D$7,$D$30),0)</f>
        <v>0</v>
      </c>
      <c r="G35" s="30">
        <f t="shared" si="8"/>
        <v>0</v>
      </c>
      <c r="H35" s="30">
        <f t="shared" si="8"/>
        <v>0</v>
      </c>
      <c r="I35" s="30">
        <f t="shared" si="8"/>
        <v>0</v>
      </c>
      <c r="J35" s="30">
        <f t="shared" si="8"/>
        <v>0</v>
      </c>
      <c r="K35" s="30">
        <f t="shared" si="8"/>
        <v>0</v>
      </c>
      <c r="L35" s="30">
        <f t="shared" si="8"/>
        <v>0</v>
      </c>
      <c r="M35" s="30">
        <f t="shared" si="8"/>
        <v>0</v>
      </c>
      <c r="N35" s="30">
        <f t="shared" si="8"/>
        <v>0</v>
      </c>
      <c r="O35" s="30">
        <f t="shared" si="8"/>
        <v>0</v>
      </c>
      <c r="P35" s="30">
        <f t="shared" si="8"/>
        <v>0</v>
      </c>
      <c r="Q35" s="30">
        <f t="shared" si="8"/>
        <v>0</v>
      </c>
      <c r="R35" s="30">
        <f t="shared" si="8"/>
        <v>0</v>
      </c>
      <c r="S35" s="30">
        <f t="shared" si="8"/>
        <v>0</v>
      </c>
    </row>
    <row r="36" spans="3:19" x14ac:dyDescent="0.2">
      <c r="C36" t="s">
        <v>113</v>
      </c>
      <c r="E36" s="30">
        <f>IF(E2&lt;=$D$7,PMT($D$8,$D$7,$D$31),0)</f>
        <v>-22266.38635573912</v>
      </c>
      <c r="F36" s="30">
        <f t="shared" ref="F36:S36" si="9">IF(F2&lt;=$D$7,PMT($D$8,$D$7,$D$31),0)</f>
        <v>-22266.38635573912</v>
      </c>
      <c r="G36" s="30">
        <f t="shared" si="9"/>
        <v>-22266.38635573912</v>
      </c>
      <c r="H36" s="30">
        <f t="shared" si="9"/>
        <v>-22266.38635573912</v>
      </c>
      <c r="I36" s="30">
        <f t="shared" si="9"/>
        <v>-22266.38635573912</v>
      </c>
      <c r="J36" s="30">
        <f t="shared" si="9"/>
        <v>-22266.38635573912</v>
      </c>
      <c r="K36" s="30">
        <f t="shared" si="9"/>
        <v>-22266.38635573912</v>
      </c>
      <c r="L36" s="30">
        <f t="shared" si="9"/>
        <v>0</v>
      </c>
      <c r="M36" s="30">
        <f t="shared" si="9"/>
        <v>0</v>
      </c>
      <c r="N36" s="30">
        <f t="shared" si="9"/>
        <v>0</v>
      </c>
      <c r="O36" s="30">
        <f t="shared" si="9"/>
        <v>0</v>
      </c>
      <c r="P36" s="30">
        <f t="shared" si="9"/>
        <v>0</v>
      </c>
      <c r="Q36" s="30">
        <f t="shared" si="9"/>
        <v>0</v>
      </c>
      <c r="R36" s="30">
        <f t="shared" si="9"/>
        <v>0</v>
      </c>
      <c r="S36" s="30">
        <f t="shared" si="9"/>
        <v>0</v>
      </c>
    </row>
    <row r="37" spans="3:19" x14ac:dyDescent="0.2">
      <c r="C37" t="s">
        <v>114</v>
      </c>
      <c r="E37" s="30">
        <f>E33-E34+E35+E36</f>
        <v>9673.6136442608804</v>
      </c>
      <c r="F37" s="30">
        <f t="shared" ref="F37:S37" si="10">F33-F34+F35+F36</f>
        <v>9673.6136442608804</v>
      </c>
      <c r="G37" s="30">
        <f t="shared" si="10"/>
        <v>9673.6136442608804</v>
      </c>
      <c r="H37" s="30">
        <f t="shared" si="10"/>
        <v>9673.6136442608804</v>
      </c>
      <c r="I37" s="30">
        <f t="shared" si="10"/>
        <v>9673.6136442608804</v>
      </c>
      <c r="J37" s="30">
        <f t="shared" si="10"/>
        <v>9673.6136442608804</v>
      </c>
      <c r="K37" s="30">
        <f t="shared" si="10"/>
        <v>9673.6136442608804</v>
      </c>
      <c r="L37" s="30">
        <f t="shared" si="10"/>
        <v>31940</v>
      </c>
      <c r="M37" s="30">
        <f t="shared" si="10"/>
        <v>31940</v>
      </c>
      <c r="N37" s="30">
        <f t="shared" si="10"/>
        <v>31940</v>
      </c>
      <c r="O37" s="30">
        <f t="shared" si="10"/>
        <v>31940</v>
      </c>
      <c r="P37" s="30">
        <f t="shared" si="10"/>
        <v>31940</v>
      </c>
      <c r="Q37" s="30">
        <f t="shared" si="10"/>
        <v>31940</v>
      </c>
      <c r="R37" s="30">
        <f t="shared" si="10"/>
        <v>31940</v>
      </c>
      <c r="S37" s="30">
        <f t="shared" si="10"/>
        <v>31940</v>
      </c>
    </row>
    <row r="39" spans="3:19" x14ac:dyDescent="0.2">
      <c r="C39" t="s">
        <v>115</v>
      </c>
      <c r="D39" s="7">
        <f>-D29</f>
        <v>-30000</v>
      </c>
      <c r="E39" s="30">
        <f>E37</f>
        <v>9673.6136442608804</v>
      </c>
      <c r="F39" s="30">
        <f t="shared" ref="F39:N39" si="11">F37</f>
        <v>9673.6136442608804</v>
      </c>
      <c r="G39" s="30">
        <f t="shared" si="11"/>
        <v>9673.6136442608804</v>
      </c>
      <c r="H39" s="30">
        <f t="shared" si="11"/>
        <v>9673.6136442608804</v>
      </c>
      <c r="I39" s="30">
        <f t="shared" si="11"/>
        <v>9673.6136442608804</v>
      </c>
      <c r="J39" s="30">
        <f t="shared" si="11"/>
        <v>9673.6136442608804</v>
      </c>
      <c r="K39" s="30">
        <f t="shared" si="11"/>
        <v>9673.6136442608804</v>
      </c>
      <c r="L39" s="30">
        <f t="shared" si="11"/>
        <v>31940</v>
      </c>
      <c r="M39" s="30">
        <f t="shared" si="11"/>
        <v>31940</v>
      </c>
      <c r="N39" s="30">
        <f t="shared" si="11"/>
        <v>31940</v>
      </c>
      <c r="O39" s="30">
        <f>O37</f>
        <v>31940</v>
      </c>
      <c r="P39" s="30">
        <f>P37</f>
        <v>31940</v>
      </c>
      <c r="Q39" s="30">
        <f>Q37</f>
        <v>31940</v>
      </c>
      <c r="R39" s="30">
        <f>R37</f>
        <v>31940</v>
      </c>
      <c r="S39" s="30">
        <f>S37</f>
        <v>31940</v>
      </c>
    </row>
    <row r="40" spans="3:19" x14ac:dyDescent="0.2">
      <c r="D40" s="34">
        <f>SUM(D39:N39)</f>
        <v>133535.29550982616</v>
      </c>
    </row>
    <row r="41" spans="3:19" x14ac:dyDescent="0.2">
      <c r="C41" t="s">
        <v>116</v>
      </c>
      <c r="D41" s="25">
        <f>AVERAGE(E41:N41)</f>
        <v>0.5451176516994205</v>
      </c>
      <c r="E41" s="25">
        <f>E39/$D$29</f>
        <v>0.32245378814202935</v>
      </c>
      <c r="F41" s="25">
        <f t="shared" ref="F41:S41" si="12">F39/$D$29</f>
        <v>0.32245378814202935</v>
      </c>
      <c r="G41" s="25">
        <f t="shared" si="12"/>
        <v>0.32245378814202935</v>
      </c>
      <c r="H41" s="25">
        <f t="shared" si="12"/>
        <v>0.32245378814202935</v>
      </c>
      <c r="I41" s="25">
        <f t="shared" si="12"/>
        <v>0.32245378814202935</v>
      </c>
      <c r="J41" s="25">
        <f t="shared" si="12"/>
        <v>0.32245378814202935</v>
      </c>
      <c r="K41" s="25">
        <f t="shared" si="12"/>
        <v>0.32245378814202935</v>
      </c>
      <c r="L41" s="25">
        <f t="shared" si="12"/>
        <v>1.0646666666666667</v>
      </c>
      <c r="M41" s="25">
        <f t="shared" si="12"/>
        <v>1.0646666666666667</v>
      </c>
      <c r="N41" s="25">
        <f t="shared" si="12"/>
        <v>1.0646666666666667</v>
      </c>
      <c r="O41" s="25">
        <f t="shared" si="12"/>
        <v>1.0646666666666667</v>
      </c>
      <c r="P41" s="25">
        <f t="shared" si="12"/>
        <v>1.0646666666666667</v>
      </c>
      <c r="Q41" s="25">
        <f t="shared" si="12"/>
        <v>1.0646666666666667</v>
      </c>
      <c r="R41" s="25">
        <f t="shared" si="12"/>
        <v>1.0646666666666667</v>
      </c>
      <c r="S41" s="25">
        <f t="shared" si="12"/>
        <v>1.0646666666666667</v>
      </c>
    </row>
    <row r="43" spans="3:19" x14ac:dyDescent="0.2">
      <c r="C43" t="s">
        <v>117</v>
      </c>
      <c r="D43" s="7">
        <f>-D29</f>
        <v>-30000</v>
      </c>
      <c r="E43" s="33">
        <f t="shared" ref="E43:S43" si="13">E39/(1+10%)^E27</f>
        <v>8794.1942220553447</v>
      </c>
      <c r="F43" s="33">
        <f t="shared" si="13"/>
        <v>7994.7220200503134</v>
      </c>
      <c r="G43" s="33">
        <f t="shared" si="13"/>
        <v>7267.9291091366476</v>
      </c>
      <c r="H43" s="33">
        <f t="shared" si="13"/>
        <v>6607.2082810333159</v>
      </c>
      <c r="I43" s="33">
        <f t="shared" si="13"/>
        <v>6006.5529827575592</v>
      </c>
      <c r="J43" s="33">
        <f t="shared" si="13"/>
        <v>5460.5027115977809</v>
      </c>
      <c r="K43" s="33">
        <f t="shared" si="13"/>
        <v>4964.0933741797999</v>
      </c>
      <c r="L43" s="33">
        <f t="shared" si="13"/>
        <v>14900.245723898877</v>
      </c>
      <c r="M43" s="33">
        <f t="shared" si="13"/>
        <v>13545.677930817161</v>
      </c>
      <c r="N43" s="33">
        <f t="shared" si="13"/>
        <v>12314.252664379235</v>
      </c>
      <c r="O43" s="33">
        <f t="shared" si="13"/>
        <v>11194.775149435667</v>
      </c>
      <c r="P43" s="33">
        <f t="shared" si="13"/>
        <v>10177.068317668789</v>
      </c>
      <c r="Q43" s="33">
        <f t="shared" si="13"/>
        <v>9251.8802887898073</v>
      </c>
      <c r="R43" s="33">
        <f t="shared" si="13"/>
        <v>8410.8002625361878</v>
      </c>
      <c r="S43" s="33">
        <f t="shared" si="13"/>
        <v>7646.1820568510793</v>
      </c>
    </row>
    <row r="44" spans="3:19" x14ac:dyDescent="0.2">
      <c r="D44" s="7">
        <f>SUM(D43:N43)</f>
        <v>57855.379019906039</v>
      </c>
    </row>
    <row r="45" spans="3:19" x14ac:dyDescent="0.2">
      <c r="C45" t="s">
        <v>118</v>
      </c>
      <c r="D45" s="25">
        <f>AVERAGE(E45:N45)</f>
        <v>0.29285126339968676</v>
      </c>
      <c r="E45" s="25">
        <f>E43/$D$29</f>
        <v>0.29313980740184481</v>
      </c>
      <c r="F45" s="25">
        <f t="shared" ref="F45:S45" si="14">F43/$D$29</f>
        <v>0.26649073400167711</v>
      </c>
      <c r="G45" s="25">
        <f t="shared" si="14"/>
        <v>0.24226430363788826</v>
      </c>
      <c r="H45" s="25">
        <f t="shared" si="14"/>
        <v>0.22024027603444385</v>
      </c>
      <c r="I45" s="25">
        <f t="shared" si="14"/>
        <v>0.20021843275858531</v>
      </c>
      <c r="J45" s="25">
        <f t="shared" si="14"/>
        <v>0.18201675705325937</v>
      </c>
      <c r="K45" s="25">
        <f t="shared" si="14"/>
        <v>0.16546977913932667</v>
      </c>
      <c r="L45" s="25">
        <f t="shared" si="14"/>
        <v>0.49667485746329593</v>
      </c>
      <c r="M45" s="25">
        <f t="shared" si="14"/>
        <v>0.45152259769390535</v>
      </c>
      <c r="N45" s="25">
        <f t="shared" si="14"/>
        <v>0.41047508881264116</v>
      </c>
      <c r="O45" s="25">
        <f t="shared" si="14"/>
        <v>0.37315917164785556</v>
      </c>
      <c r="P45" s="25">
        <f t="shared" si="14"/>
        <v>0.33923561058895962</v>
      </c>
      <c r="Q45" s="25">
        <f t="shared" si="14"/>
        <v>0.30839600962632691</v>
      </c>
      <c r="R45" s="25">
        <f t="shared" si="14"/>
        <v>0.28036000875120626</v>
      </c>
      <c r="S45" s="25">
        <f t="shared" si="14"/>
        <v>0.25487273522836928</v>
      </c>
    </row>
    <row r="46" spans="3:19" x14ac:dyDescent="0.2">
      <c r="C46" s="35" t="s">
        <v>119</v>
      </c>
      <c r="D46" s="37">
        <f>IRR(D39:S39)</f>
        <v>0.38912174161031388</v>
      </c>
    </row>
    <row r="47" spans="3:19" x14ac:dyDescent="0.2">
      <c r="C47" s="3" t="s">
        <v>102</v>
      </c>
      <c r="D47" s="37"/>
      <c r="E47" s="31">
        <f>-IF(E2&lt;=$D$7,E33/(E35+E36),0)</f>
        <v>1.4344491957388283</v>
      </c>
      <c r="F47" s="31">
        <f t="shared" ref="F47:S47" si="15">-IF(F2&lt;=$D$7,F33/(F35+F36),0)</f>
        <v>1.4344491957388283</v>
      </c>
      <c r="G47" s="31">
        <f t="shared" si="15"/>
        <v>1.4344491957388283</v>
      </c>
      <c r="H47" s="31">
        <f t="shared" si="15"/>
        <v>1.4344491957388283</v>
      </c>
      <c r="I47" s="31">
        <f t="shared" si="15"/>
        <v>1.4344491957388283</v>
      </c>
      <c r="J47" s="31">
        <f t="shared" si="15"/>
        <v>1.4344491957388283</v>
      </c>
      <c r="K47" s="31">
        <f t="shared" si="15"/>
        <v>1.4344491957388283</v>
      </c>
      <c r="L47" s="31">
        <f t="shared" si="15"/>
        <v>0</v>
      </c>
      <c r="M47" s="31">
        <f t="shared" si="15"/>
        <v>0</v>
      </c>
      <c r="N47" s="31">
        <f t="shared" si="15"/>
        <v>0</v>
      </c>
      <c r="O47" s="31">
        <f t="shared" si="15"/>
        <v>0</v>
      </c>
      <c r="P47" s="31">
        <f t="shared" si="15"/>
        <v>0</v>
      </c>
      <c r="Q47" s="31">
        <f t="shared" si="15"/>
        <v>0</v>
      </c>
      <c r="R47" s="31">
        <f t="shared" si="15"/>
        <v>0</v>
      </c>
      <c r="S47" s="31">
        <f t="shared" si="15"/>
        <v>0</v>
      </c>
    </row>
    <row r="49" spans="2:19" ht="15.75" x14ac:dyDescent="0.25">
      <c r="B49" s="18" t="s">
        <v>121</v>
      </c>
      <c r="C49" t="s">
        <v>1</v>
      </c>
      <c r="D49">
        <v>0</v>
      </c>
      <c r="E49">
        <v>1</v>
      </c>
      <c r="F49">
        <v>2</v>
      </c>
      <c r="G49">
        <v>3</v>
      </c>
      <c r="H49">
        <v>4</v>
      </c>
      <c r="I49">
        <v>5</v>
      </c>
      <c r="J49">
        <v>6</v>
      </c>
      <c r="K49">
        <v>7</v>
      </c>
      <c r="L49">
        <v>8</v>
      </c>
      <c r="M49">
        <v>9</v>
      </c>
      <c r="N49">
        <v>10</v>
      </c>
      <c r="O49">
        <v>11</v>
      </c>
      <c r="P49">
        <v>12</v>
      </c>
      <c r="Q49">
        <v>13</v>
      </c>
      <c r="R49">
        <v>14</v>
      </c>
      <c r="S49">
        <v>15</v>
      </c>
    </row>
    <row r="50" spans="2:19" ht="15.75" x14ac:dyDescent="0.25">
      <c r="C50" t="s">
        <v>104</v>
      </c>
      <c r="D50" s="42">
        <f>D3</f>
        <v>150000</v>
      </c>
    </row>
    <row r="51" spans="2:19" ht="15.75" x14ac:dyDescent="0.25">
      <c r="C51" t="s">
        <v>105</v>
      </c>
      <c r="D51" s="42">
        <v>10000</v>
      </c>
    </row>
    <row r="52" spans="2:19" ht="15.75" x14ac:dyDescent="0.25">
      <c r="C52" t="s">
        <v>106</v>
      </c>
      <c r="D52" s="42">
        <v>20000</v>
      </c>
    </row>
    <row r="53" spans="2:19" ht="15.75" x14ac:dyDescent="0.25">
      <c r="C53" t="s">
        <v>107</v>
      </c>
      <c r="D53" s="42">
        <f>D50-D51-D52</f>
        <v>120000</v>
      </c>
    </row>
    <row r="55" spans="2:19" x14ac:dyDescent="0.2">
      <c r="C55" t="s">
        <v>111</v>
      </c>
      <c r="E55" s="7">
        <f t="shared" ref="E55:S55" si="16">E11</f>
        <v>31940</v>
      </c>
      <c r="F55" s="7">
        <f t="shared" si="16"/>
        <v>31940</v>
      </c>
      <c r="G55" s="7">
        <f t="shared" si="16"/>
        <v>31940</v>
      </c>
      <c r="H55" s="7">
        <f t="shared" si="16"/>
        <v>31940</v>
      </c>
      <c r="I55" s="7">
        <f t="shared" si="16"/>
        <v>31940</v>
      </c>
      <c r="J55" s="7">
        <f t="shared" si="16"/>
        <v>31940</v>
      </c>
      <c r="K55" s="7">
        <f t="shared" si="16"/>
        <v>31940</v>
      </c>
      <c r="L55" s="7">
        <f t="shared" si="16"/>
        <v>31940</v>
      </c>
      <c r="M55" s="7">
        <f t="shared" si="16"/>
        <v>31940</v>
      </c>
      <c r="N55" s="7">
        <f t="shared" si="16"/>
        <v>31940</v>
      </c>
      <c r="O55" s="7">
        <f t="shared" si="16"/>
        <v>31940</v>
      </c>
      <c r="P55" s="7">
        <f t="shared" si="16"/>
        <v>31940</v>
      </c>
      <c r="Q55" s="7">
        <f t="shared" si="16"/>
        <v>31940</v>
      </c>
      <c r="R55" s="7">
        <f t="shared" si="16"/>
        <v>31940</v>
      </c>
      <c r="S55" s="7">
        <f t="shared" si="16"/>
        <v>31940</v>
      </c>
    </row>
    <row r="56" spans="2:19" x14ac:dyDescent="0.2">
      <c r="C56" t="s">
        <v>34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2:19" x14ac:dyDescent="0.2">
      <c r="C57" t="s">
        <v>112</v>
      </c>
      <c r="E57" s="30">
        <f>IF(E2&lt;=$D$7,PMT($D$9,$D$7,$D$52),0)</f>
        <v>-4382.3547180278183</v>
      </c>
      <c r="F57" s="30">
        <f t="shared" ref="F57:S57" si="17">IF(F2&lt;=$D$7,PMT($D$9,$D$7,$D$52),0)</f>
        <v>-4382.3547180278183</v>
      </c>
      <c r="G57" s="30">
        <f t="shared" si="17"/>
        <v>-4382.3547180278183</v>
      </c>
      <c r="H57" s="30">
        <f t="shared" si="17"/>
        <v>-4382.3547180278183</v>
      </c>
      <c r="I57" s="30">
        <f t="shared" si="17"/>
        <v>-4382.3547180278183</v>
      </c>
      <c r="J57" s="30">
        <f t="shared" si="17"/>
        <v>-4382.3547180278183</v>
      </c>
      <c r="K57" s="30">
        <f t="shared" si="17"/>
        <v>-4382.3547180278183</v>
      </c>
      <c r="L57" s="30">
        <f t="shared" si="17"/>
        <v>0</v>
      </c>
      <c r="M57" s="30">
        <f t="shared" si="17"/>
        <v>0</v>
      </c>
      <c r="N57" s="30">
        <f t="shared" si="17"/>
        <v>0</v>
      </c>
      <c r="O57" s="30">
        <f t="shared" si="17"/>
        <v>0</v>
      </c>
      <c r="P57" s="30">
        <f t="shared" si="17"/>
        <v>0</v>
      </c>
      <c r="Q57" s="30">
        <f t="shared" si="17"/>
        <v>0</v>
      </c>
      <c r="R57" s="30">
        <f t="shared" si="17"/>
        <v>0</v>
      </c>
      <c r="S57" s="30">
        <f t="shared" si="17"/>
        <v>0</v>
      </c>
    </row>
    <row r="58" spans="2:19" x14ac:dyDescent="0.2">
      <c r="C58" t="s">
        <v>113</v>
      </c>
      <c r="E58" s="30">
        <f>IF(E2&lt;=$D$7,PMT($D$8,$D$7,$D$53),0)</f>
        <v>-22266.38635573912</v>
      </c>
      <c r="F58" s="30">
        <f t="shared" ref="F58:S58" si="18">IF(F2&lt;=$D$7,PMT($D$8,$D$7,$D$53),0)</f>
        <v>-22266.38635573912</v>
      </c>
      <c r="G58" s="30">
        <f t="shared" si="18"/>
        <v>-22266.38635573912</v>
      </c>
      <c r="H58" s="30">
        <f t="shared" si="18"/>
        <v>-22266.38635573912</v>
      </c>
      <c r="I58" s="30">
        <f t="shared" si="18"/>
        <v>-22266.38635573912</v>
      </c>
      <c r="J58" s="30">
        <f t="shared" si="18"/>
        <v>-22266.38635573912</v>
      </c>
      <c r="K58" s="30">
        <f t="shared" si="18"/>
        <v>-22266.38635573912</v>
      </c>
      <c r="L58" s="30">
        <f t="shared" si="18"/>
        <v>0</v>
      </c>
      <c r="M58" s="30">
        <f t="shared" si="18"/>
        <v>0</v>
      </c>
      <c r="N58" s="30">
        <f t="shared" si="18"/>
        <v>0</v>
      </c>
      <c r="O58" s="30">
        <f t="shared" si="18"/>
        <v>0</v>
      </c>
      <c r="P58" s="30">
        <f t="shared" si="18"/>
        <v>0</v>
      </c>
      <c r="Q58" s="30">
        <f t="shared" si="18"/>
        <v>0</v>
      </c>
      <c r="R58" s="30">
        <f t="shared" si="18"/>
        <v>0</v>
      </c>
      <c r="S58" s="30">
        <f t="shared" si="18"/>
        <v>0</v>
      </c>
    </row>
    <row r="59" spans="2:19" x14ac:dyDescent="0.2">
      <c r="C59" t="s">
        <v>114</v>
      </c>
      <c r="E59" s="30">
        <f>E55-E56+E57+E58</f>
        <v>5291.2589262330621</v>
      </c>
      <c r="F59" s="30">
        <f t="shared" ref="F59:S59" si="19">F55-F56+F57+F58</f>
        <v>5291.2589262330621</v>
      </c>
      <c r="G59" s="30">
        <f t="shared" si="19"/>
        <v>5291.2589262330621</v>
      </c>
      <c r="H59" s="30">
        <f t="shared" si="19"/>
        <v>5291.2589262330621</v>
      </c>
      <c r="I59" s="30">
        <f t="shared" si="19"/>
        <v>5291.2589262330621</v>
      </c>
      <c r="J59" s="30">
        <f t="shared" si="19"/>
        <v>5291.2589262330621</v>
      </c>
      <c r="K59" s="30">
        <f t="shared" si="19"/>
        <v>5291.2589262330621</v>
      </c>
      <c r="L59" s="30">
        <f t="shared" si="19"/>
        <v>31940</v>
      </c>
      <c r="M59" s="30">
        <f t="shared" si="19"/>
        <v>31940</v>
      </c>
      <c r="N59" s="30">
        <f t="shared" si="19"/>
        <v>31940</v>
      </c>
      <c r="O59" s="30">
        <f t="shared" si="19"/>
        <v>31940</v>
      </c>
      <c r="P59" s="30">
        <f t="shared" si="19"/>
        <v>31940</v>
      </c>
      <c r="Q59" s="30">
        <f t="shared" si="19"/>
        <v>31940</v>
      </c>
      <c r="R59" s="30">
        <f t="shared" si="19"/>
        <v>31940</v>
      </c>
      <c r="S59" s="30">
        <f t="shared" si="19"/>
        <v>31940</v>
      </c>
    </row>
    <row r="61" spans="2:19" x14ac:dyDescent="0.2">
      <c r="C61" t="s">
        <v>115</v>
      </c>
      <c r="D61" s="7">
        <f>-D51</f>
        <v>-10000</v>
      </c>
      <c r="E61" s="30">
        <f>E59</f>
        <v>5291.2589262330621</v>
      </c>
      <c r="F61" s="30">
        <f t="shared" ref="F61:N61" si="20">F59</f>
        <v>5291.2589262330621</v>
      </c>
      <c r="G61" s="30">
        <f t="shared" si="20"/>
        <v>5291.2589262330621</v>
      </c>
      <c r="H61" s="30">
        <f t="shared" si="20"/>
        <v>5291.2589262330621</v>
      </c>
      <c r="I61" s="30">
        <f t="shared" si="20"/>
        <v>5291.2589262330621</v>
      </c>
      <c r="J61" s="30">
        <f t="shared" si="20"/>
        <v>5291.2589262330621</v>
      </c>
      <c r="K61" s="30">
        <f t="shared" si="20"/>
        <v>5291.2589262330621</v>
      </c>
      <c r="L61" s="30">
        <f t="shared" si="20"/>
        <v>31940</v>
      </c>
      <c r="M61" s="30">
        <f t="shared" si="20"/>
        <v>31940</v>
      </c>
      <c r="N61" s="30">
        <f t="shared" si="20"/>
        <v>31940</v>
      </c>
      <c r="O61" s="30">
        <f>O59</f>
        <v>31940</v>
      </c>
      <c r="P61" s="30">
        <f>P59</f>
        <v>31940</v>
      </c>
      <c r="Q61" s="30">
        <f>Q59</f>
        <v>31940</v>
      </c>
      <c r="R61" s="30">
        <f>R59</f>
        <v>31940</v>
      </c>
      <c r="S61" s="30">
        <f>S59</f>
        <v>31940</v>
      </c>
    </row>
    <row r="62" spans="2:19" x14ac:dyDescent="0.2">
      <c r="D62" s="34">
        <f>SUM(D61:N61)</f>
        <v>122858.81248363144</v>
      </c>
    </row>
    <row r="63" spans="2:19" x14ac:dyDescent="0.2">
      <c r="C63" t="s">
        <v>116</v>
      </c>
      <c r="D63" s="25">
        <f>AVERAGE(E63:N63)</f>
        <v>1.3285881248363143</v>
      </c>
      <c r="E63" s="25">
        <f>E61/$D$51</f>
        <v>0.52912589262330623</v>
      </c>
      <c r="F63" s="25">
        <f t="shared" ref="F63:S63" si="21">F61/$D$51</f>
        <v>0.52912589262330623</v>
      </c>
      <c r="G63" s="25">
        <f t="shared" si="21"/>
        <v>0.52912589262330623</v>
      </c>
      <c r="H63" s="25">
        <f t="shared" si="21"/>
        <v>0.52912589262330623</v>
      </c>
      <c r="I63" s="25">
        <f t="shared" si="21"/>
        <v>0.52912589262330623</v>
      </c>
      <c r="J63" s="25">
        <f t="shared" si="21"/>
        <v>0.52912589262330623</v>
      </c>
      <c r="K63" s="25">
        <f t="shared" si="21"/>
        <v>0.52912589262330623</v>
      </c>
      <c r="L63" s="25">
        <f t="shared" si="21"/>
        <v>3.194</v>
      </c>
      <c r="M63" s="25">
        <f t="shared" si="21"/>
        <v>3.194</v>
      </c>
      <c r="N63" s="25">
        <f t="shared" si="21"/>
        <v>3.194</v>
      </c>
      <c r="O63" s="25">
        <f t="shared" si="21"/>
        <v>3.194</v>
      </c>
      <c r="P63" s="25">
        <f t="shared" si="21"/>
        <v>3.194</v>
      </c>
      <c r="Q63" s="25">
        <f t="shared" si="21"/>
        <v>3.194</v>
      </c>
      <c r="R63" s="25">
        <f t="shared" si="21"/>
        <v>3.194</v>
      </c>
      <c r="S63" s="25">
        <f t="shared" si="21"/>
        <v>3.194</v>
      </c>
    </row>
    <row r="65" spans="3:19" x14ac:dyDescent="0.2">
      <c r="C65" t="s">
        <v>117</v>
      </c>
      <c r="D65" s="7">
        <f>-D51</f>
        <v>-10000</v>
      </c>
      <c r="E65" s="33">
        <f t="shared" ref="E65:S65" si="22">E61/(1+10%)^E49</f>
        <v>4810.2353874846012</v>
      </c>
      <c r="F65" s="33">
        <f t="shared" si="22"/>
        <v>4372.941261349637</v>
      </c>
      <c r="G65" s="33">
        <f t="shared" si="22"/>
        <v>3975.4011466814882</v>
      </c>
      <c r="H65" s="33">
        <f t="shared" si="22"/>
        <v>3614.0010424377165</v>
      </c>
      <c r="I65" s="33">
        <f t="shared" si="22"/>
        <v>3285.4554931251964</v>
      </c>
      <c r="J65" s="33">
        <f t="shared" si="22"/>
        <v>2986.7777210229056</v>
      </c>
      <c r="K65" s="33">
        <f t="shared" si="22"/>
        <v>2715.2524736571863</v>
      </c>
      <c r="L65" s="33">
        <f t="shared" si="22"/>
        <v>14900.245723898877</v>
      </c>
      <c r="M65" s="33">
        <f t="shared" si="22"/>
        <v>13545.677930817161</v>
      </c>
      <c r="N65" s="33">
        <f t="shared" si="22"/>
        <v>12314.252664379235</v>
      </c>
      <c r="O65" s="33">
        <f t="shared" si="22"/>
        <v>11194.775149435667</v>
      </c>
      <c r="P65" s="33">
        <f t="shared" si="22"/>
        <v>10177.068317668789</v>
      </c>
      <c r="Q65" s="33">
        <f t="shared" si="22"/>
        <v>9251.8802887898073</v>
      </c>
      <c r="R65" s="33">
        <f t="shared" si="22"/>
        <v>8410.8002625361878</v>
      </c>
      <c r="S65" s="33">
        <f t="shared" si="22"/>
        <v>7646.1820568510793</v>
      </c>
    </row>
    <row r="66" spans="3:19" x14ac:dyDescent="0.2">
      <c r="D66" s="7">
        <f>SUM(D65:N65)</f>
        <v>56520.240844854008</v>
      </c>
    </row>
    <row r="67" spans="3:19" x14ac:dyDescent="0.2">
      <c r="C67" t="s">
        <v>118</v>
      </c>
      <c r="D67" s="25">
        <f>AVERAGE(E67:N67)</f>
        <v>0.66520240844854006</v>
      </c>
      <c r="E67" s="25">
        <f>E65/$D$51</f>
        <v>0.4810235387484601</v>
      </c>
      <c r="F67" s="25">
        <f t="shared" ref="F67:S67" si="23">F65/$D$51</f>
        <v>0.43729412613496371</v>
      </c>
      <c r="G67" s="25">
        <f t="shared" si="23"/>
        <v>0.39754011466814881</v>
      </c>
      <c r="H67" s="25">
        <f t="shared" si="23"/>
        <v>0.36140010424377167</v>
      </c>
      <c r="I67" s="25">
        <f t="shared" si="23"/>
        <v>0.32854554931251967</v>
      </c>
      <c r="J67" s="25">
        <f t="shared" si="23"/>
        <v>0.29867777210229057</v>
      </c>
      <c r="K67" s="25">
        <f t="shared" si="23"/>
        <v>0.27152524736571865</v>
      </c>
      <c r="L67" s="25">
        <f t="shared" si="23"/>
        <v>1.4900245723898877</v>
      </c>
      <c r="M67" s="25">
        <f t="shared" si="23"/>
        <v>1.3545677930817162</v>
      </c>
      <c r="N67" s="25">
        <f t="shared" si="23"/>
        <v>1.2314252664379235</v>
      </c>
      <c r="O67" s="25">
        <f t="shared" si="23"/>
        <v>1.1194775149435667</v>
      </c>
      <c r="P67" s="25">
        <f t="shared" si="23"/>
        <v>1.0177068317668789</v>
      </c>
      <c r="Q67" s="25">
        <f t="shared" si="23"/>
        <v>0.92518802887898077</v>
      </c>
      <c r="R67" s="25">
        <f t="shared" si="23"/>
        <v>0.84108002625361877</v>
      </c>
      <c r="S67" s="25">
        <f t="shared" si="23"/>
        <v>0.76461820568510797</v>
      </c>
    </row>
    <row r="68" spans="3:19" x14ac:dyDescent="0.2">
      <c r="C68" s="35" t="s">
        <v>119</v>
      </c>
      <c r="D68" s="37">
        <f>IRR(D61:S61)</f>
        <v>0.61842195674795319</v>
      </c>
    </row>
    <row r="69" spans="3:19" ht="15.75" x14ac:dyDescent="0.25">
      <c r="C69" s="18" t="s">
        <v>102</v>
      </c>
      <c r="E69" s="31">
        <f>-IF(E2&lt;=$D$7,E55/(E57+E58),0)</f>
        <v>1.1985556807950597</v>
      </c>
      <c r="F69" s="31">
        <f t="shared" ref="F69:S69" si="24">-IF(F2&lt;=$D$7,F55/(F57+F58),0)</f>
        <v>1.1985556807950597</v>
      </c>
      <c r="G69" s="31">
        <f t="shared" si="24"/>
        <v>1.1985556807950597</v>
      </c>
      <c r="H69" s="31">
        <f t="shared" si="24"/>
        <v>1.1985556807950597</v>
      </c>
      <c r="I69" s="31">
        <f t="shared" si="24"/>
        <v>1.1985556807950597</v>
      </c>
      <c r="J69" s="31">
        <f t="shared" si="24"/>
        <v>1.1985556807950597</v>
      </c>
      <c r="K69" s="31">
        <f t="shared" si="24"/>
        <v>1.1985556807950597</v>
      </c>
      <c r="L69" s="31">
        <f t="shared" si="24"/>
        <v>0</v>
      </c>
      <c r="M69" s="31">
        <f t="shared" si="24"/>
        <v>0</v>
      </c>
      <c r="N69" s="31">
        <f t="shared" si="24"/>
        <v>0</v>
      </c>
      <c r="O69" s="31">
        <f t="shared" si="24"/>
        <v>0</v>
      </c>
      <c r="P69" s="31">
        <f t="shared" si="24"/>
        <v>0</v>
      </c>
      <c r="Q69" s="31">
        <f t="shared" si="24"/>
        <v>0</v>
      </c>
      <c r="R69" s="31">
        <f t="shared" si="24"/>
        <v>0</v>
      </c>
      <c r="S69" s="31">
        <f t="shared" si="24"/>
        <v>0</v>
      </c>
    </row>
  </sheetData>
  <sheetProtection sheet="1" objects="1" scenarios="1" select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S18"/>
  <sheetViews>
    <sheetView zoomScale="150" zoomScaleNormal="150" zoomScalePageLayoutView="150" workbookViewId="0">
      <selection activeCell="C6" sqref="C6"/>
    </sheetView>
  </sheetViews>
  <sheetFormatPr defaultColWidth="11" defaultRowHeight="12.75" x14ac:dyDescent="0.2"/>
  <cols>
    <col min="2" max="2" width="21.375" customWidth="1"/>
  </cols>
  <sheetData>
    <row r="3" spans="2:19" x14ac:dyDescent="0.2">
      <c r="B3" s="3" t="s">
        <v>128</v>
      </c>
    </row>
    <row r="6" spans="2:19" x14ac:dyDescent="0.2">
      <c r="B6" t="s">
        <v>89</v>
      </c>
      <c r="C6" s="39">
        <v>1000</v>
      </c>
    </row>
    <row r="7" spans="2:19" x14ac:dyDescent="0.2">
      <c r="B7" t="s">
        <v>129</v>
      </c>
      <c r="C7" s="40">
        <v>0.05</v>
      </c>
    </row>
    <row r="8" spans="2:19" x14ac:dyDescent="0.2">
      <c r="B8" t="s">
        <v>91</v>
      </c>
      <c r="C8" s="41">
        <v>10</v>
      </c>
    </row>
    <row r="11" spans="2:19" x14ac:dyDescent="0.2">
      <c r="B11" t="s">
        <v>130</v>
      </c>
    </row>
    <row r="12" spans="2:19" x14ac:dyDescent="0.2">
      <c r="C12">
        <v>0</v>
      </c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  <c r="P12">
        <v>13</v>
      </c>
      <c r="Q12">
        <v>14</v>
      </c>
      <c r="R12">
        <v>15</v>
      </c>
    </row>
    <row r="13" spans="2:19" x14ac:dyDescent="0.2">
      <c r="B13" t="s">
        <v>96</v>
      </c>
      <c r="C13" s="5">
        <f>C6</f>
        <v>1000</v>
      </c>
    </row>
    <row r="15" spans="2:19" x14ac:dyDescent="0.2">
      <c r="B15" t="s">
        <v>131</v>
      </c>
      <c r="D15">
        <f>IF(D12=$C$8,$C$13,0)</f>
        <v>0</v>
      </c>
      <c r="E15">
        <f t="shared" ref="E15:R15" si="0">IF(E12=$C$8,$C$13,0)</f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1000</v>
      </c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2:19" x14ac:dyDescent="0.2">
      <c r="B16" t="s">
        <v>98</v>
      </c>
      <c r="D16" s="5">
        <f>IF(D12&lt;=$C$8,$C$13*$C$7,0)</f>
        <v>50</v>
      </c>
      <c r="E16" s="5">
        <f t="shared" ref="E16:R16" si="1">IF(E12&lt;=$C$8,$C$13*$C$7,0)</f>
        <v>50</v>
      </c>
      <c r="F16" s="5">
        <f t="shared" si="1"/>
        <v>50</v>
      </c>
      <c r="G16" s="5">
        <f t="shared" si="1"/>
        <v>50</v>
      </c>
      <c r="H16" s="5">
        <f t="shared" si="1"/>
        <v>50</v>
      </c>
      <c r="I16" s="5">
        <f t="shared" si="1"/>
        <v>50</v>
      </c>
      <c r="J16" s="5">
        <f t="shared" si="1"/>
        <v>50</v>
      </c>
      <c r="K16" s="5">
        <f t="shared" si="1"/>
        <v>50</v>
      </c>
      <c r="L16" s="5">
        <f t="shared" si="1"/>
        <v>50</v>
      </c>
      <c r="M16" s="5">
        <f t="shared" si="1"/>
        <v>50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>SUM(D16:R16)</f>
        <v>500</v>
      </c>
    </row>
    <row r="18" spans="2:3" x14ac:dyDescent="0.2">
      <c r="B18" t="s">
        <v>99</v>
      </c>
      <c r="C18" s="5">
        <f>S16</f>
        <v>500</v>
      </c>
    </row>
  </sheetData>
  <sheetProtection sheet="1" objects="1" scenarios="1" selectLockedCell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25"/>
  <sheetViews>
    <sheetView zoomScale="150" workbookViewId="0">
      <selection activeCell="C6" sqref="C6"/>
    </sheetView>
  </sheetViews>
  <sheetFormatPr defaultColWidth="11" defaultRowHeight="12.75" x14ac:dyDescent="0.2"/>
  <cols>
    <col min="2" max="2" width="19.375" customWidth="1"/>
  </cols>
  <sheetData>
    <row r="3" spans="1:6" x14ac:dyDescent="0.2">
      <c r="A3" s="3"/>
      <c r="E3" s="3"/>
    </row>
    <row r="4" spans="1:6" x14ac:dyDescent="0.2">
      <c r="B4" s="3" t="s">
        <v>8</v>
      </c>
    </row>
    <row r="5" spans="1:6" x14ac:dyDescent="0.2">
      <c r="E5" s="3"/>
      <c r="F5" s="5"/>
    </row>
    <row r="6" spans="1:6" x14ac:dyDescent="0.2">
      <c r="B6" t="s">
        <v>9</v>
      </c>
      <c r="C6" s="49">
        <v>5.6519999999999999E-3</v>
      </c>
      <c r="E6" s="3"/>
      <c r="F6" s="4"/>
    </row>
    <row r="7" spans="1:6" x14ac:dyDescent="0.2">
      <c r="B7" t="s">
        <v>4</v>
      </c>
      <c r="C7" s="41">
        <v>12</v>
      </c>
      <c r="E7" s="3"/>
    </row>
    <row r="8" spans="1:6" x14ac:dyDescent="0.2">
      <c r="B8" t="s">
        <v>10</v>
      </c>
      <c r="C8" s="17">
        <f>(1+C6)^C7-1</f>
        <v>6.9972608424876626E-2</v>
      </c>
      <c r="F8" s="6"/>
    </row>
    <row r="10" spans="1:6" x14ac:dyDescent="0.2">
      <c r="E10" s="3"/>
    </row>
    <row r="11" spans="1:6" x14ac:dyDescent="0.2">
      <c r="C11" s="53"/>
      <c r="D11" s="4"/>
    </row>
    <row r="12" spans="1:6" x14ac:dyDescent="0.2">
      <c r="F12" s="5"/>
    </row>
    <row r="13" spans="1:6" x14ac:dyDescent="0.2">
      <c r="C13" s="25"/>
      <c r="D13" s="1"/>
      <c r="F13" s="4"/>
    </row>
    <row r="16" spans="1:6" x14ac:dyDescent="0.2">
      <c r="F16" s="6"/>
    </row>
    <row r="18" spans="5:6" x14ac:dyDescent="0.2">
      <c r="E18" s="3"/>
    </row>
    <row r="20" spans="5:6" x14ac:dyDescent="0.2">
      <c r="F20" s="5"/>
    </row>
    <row r="21" spans="5:6" x14ac:dyDescent="0.2">
      <c r="F21" s="4"/>
    </row>
    <row r="25" spans="5:6" x14ac:dyDescent="0.2">
      <c r="F25" s="6"/>
    </row>
  </sheetData>
  <sheetProtection sheet="1" objects="1" scenarios="1" selectLockedCells="1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5"/>
  <sheetViews>
    <sheetView zoomScale="150" workbookViewId="0">
      <selection activeCell="C4" sqref="C4:C6"/>
    </sheetView>
  </sheetViews>
  <sheetFormatPr defaultColWidth="11" defaultRowHeight="12.75" x14ac:dyDescent="0.2"/>
  <cols>
    <col min="2" max="2" width="21.75" customWidth="1"/>
    <col min="5" max="5" width="18.125" customWidth="1"/>
  </cols>
  <sheetData>
    <row r="2" spans="1:6" x14ac:dyDescent="0.2">
      <c r="B2" s="3" t="s">
        <v>11</v>
      </c>
    </row>
    <row r="3" spans="1:6" x14ac:dyDescent="0.2">
      <c r="A3" s="3"/>
    </row>
    <row r="4" spans="1:6" x14ac:dyDescent="0.2">
      <c r="B4" s="3" t="s">
        <v>13</v>
      </c>
      <c r="C4" s="39">
        <v>100</v>
      </c>
    </row>
    <row r="5" spans="1:6" x14ac:dyDescent="0.2">
      <c r="B5" s="3" t="s">
        <v>12</v>
      </c>
      <c r="C5" s="40">
        <v>0.02</v>
      </c>
    </row>
    <row r="6" spans="1:6" x14ac:dyDescent="0.2">
      <c r="B6" s="3" t="s">
        <v>15</v>
      </c>
      <c r="C6" s="41">
        <v>12</v>
      </c>
    </row>
    <row r="7" spans="1:6" x14ac:dyDescent="0.2">
      <c r="B7" t="s">
        <v>14</v>
      </c>
      <c r="C7" s="6">
        <f>C4*(1+C5)^C6</f>
        <v>126.82417945625453</v>
      </c>
    </row>
    <row r="10" spans="1:6" x14ac:dyDescent="0.2">
      <c r="A10" s="3"/>
      <c r="E10" s="3"/>
    </row>
    <row r="12" spans="1:6" x14ac:dyDescent="0.2">
      <c r="B12" s="2"/>
      <c r="F12" s="5"/>
    </row>
    <row r="13" spans="1:6" x14ac:dyDescent="0.2">
      <c r="F13" s="4"/>
    </row>
    <row r="14" spans="1:6" x14ac:dyDescent="0.2">
      <c r="B14" s="1"/>
    </row>
    <row r="16" spans="1:6" x14ac:dyDescent="0.2">
      <c r="F16" s="6"/>
    </row>
    <row r="18" spans="5:6" x14ac:dyDescent="0.2">
      <c r="E18" s="3"/>
    </row>
    <row r="20" spans="5:6" x14ac:dyDescent="0.2">
      <c r="F20" s="5"/>
    </row>
    <row r="21" spans="5:6" x14ac:dyDescent="0.2">
      <c r="F21" s="4"/>
    </row>
    <row r="25" spans="5:6" x14ac:dyDescent="0.2">
      <c r="F25" s="6"/>
    </row>
  </sheetData>
  <sheetProtection sheet="1" objects="1" scenarios="1" select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P281"/>
  <sheetViews>
    <sheetView zoomScale="150" workbookViewId="0">
      <selection activeCell="F35" sqref="F35:F36"/>
    </sheetView>
  </sheetViews>
  <sheetFormatPr defaultColWidth="11" defaultRowHeight="12.75" x14ac:dyDescent="0.2"/>
  <cols>
    <col min="5" max="5" width="35" customWidth="1"/>
    <col min="6" max="6" width="12.25" customWidth="1"/>
  </cols>
  <sheetData>
    <row r="3" spans="1:15" x14ac:dyDescent="0.2">
      <c r="E3" s="12" t="s">
        <v>127</v>
      </c>
    </row>
    <row r="4" spans="1:15" ht="15.75" x14ac:dyDescent="0.2">
      <c r="E4" s="11"/>
    </row>
    <row r="5" spans="1:15" x14ac:dyDescent="0.2">
      <c r="E5" s="12" t="s">
        <v>36</v>
      </c>
      <c r="F5" s="52">
        <v>100</v>
      </c>
    </row>
    <row r="6" spans="1:15" x14ac:dyDescent="0.2">
      <c r="E6" s="12" t="s">
        <v>37</v>
      </c>
      <c r="F6" s="50">
        <v>0.02</v>
      </c>
    </row>
    <row r="7" spans="1:15" x14ac:dyDescent="0.2">
      <c r="E7" s="12" t="s">
        <v>38</v>
      </c>
      <c r="F7" s="41">
        <v>10</v>
      </c>
    </row>
    <row r="8" spans="1:15" ht="15" x14ac:dyDescent="0.2">
      <c r="E8" s="14" t="s">
        <v>39</v>
      </c>
      <c r="F8" s="16">
        <f>F5*(1+F6)^F7</f>
        <v>121.89944199947571</v>
      </c>
    </row>
    <row r="9" spans="1:15" x14ac:dyDescent="0.2">
      <c r="E9" s="13"/>
    </row>
    <row r="10" spans="1:15" ht="14.25" x14ac:dyDescent="0.25">
      <c r="E10" s="15" t="s">
        <v>40</v>
      </c>
    </row>
    <row r="12" spans="1:15" x14ac:dyDescent="0.2">
      <c r="E12" s="3"/>
    </row>
    <row r="13" spans="1:15" x14ac:dyDescent="0.2">
      <c r="E13" s="3"/>
    </row>
    <row r="14" spans="1:15" x14ac:dyDescent="0.2">
      <c r="A14" s="3"/>
      <c r="E14" s="3" t="s">
        <v>26</v>
      </c>
    </row>
    <row r="15" spans="1:15" x14ac:dyDescent="0.2">
      <c r="N15" t="s">
        <v>0</v>
      </c>
    </row>
    <row r="16" spans="1:15" x14ac:dyDescent="0.2">
      <c r="B16" s="2"/>
      <c r="E16" s="3" t="s">
        <v>31</v>
      </c>
      <c r="F16" s="8">
        <v>100</v>
      </c>
      <c r="N16" t="s">
        <v>1</v>
      </c>
      <c r="O16" t="s">
        <v>2</v>
      </c>
    </row>
    <row r="17" spans="1:16" x14ac:dyDescent="0.2">
      <c r="E17" s="3" t="s">
        <v>32</v>
      </c>
      <c r="F17" s="9">
        <v>2.5000000000000001E-2</v>
      </c>
    </row>
    <row r="18" spans="1:16" x14ac:dyDescent="0.2">
      <c r="B18" s="1"/>
      <c r="E18" s="3" t="s">
        <v>33</v>
      </c>
      <c r="F18" s="41">
        <v>12</v>
      </c>
      <c r="M18">
        <v>1</v>
      </c>
      <c r="N18">
        <v>2014</v>
      </c>
      <c r="O18" s="2">
        <v>2.5000000000000001E-2</v>
      </c>
      <c r="P18" s="2">
        <v>2.5000000000000001E-2</v>
      </c>
    </row>
    <row r="19" spans="1:16" x14ac:dyDescent="0.2">
      <c r="E19" s="3" t="s">
        <v>25</v>
      </c>
      <c r="F19" s="6">
        <f>F16/(1+F17)^F18</f>
        <v>74.355588504530843</v>
      </c>
      <c r="M19">
        <v>2</v>
      </c>
      <c r="N19">
        <v>2013</v>
      </c>
      <c r="O19" s="2">
        <v>2.5000000000000001E-2</v>
      </c>
      <c r="P19" s="2">
        <f>AVERAGE($O$17:O18)</f>
        <v>2.5000000000000001E-2</v>
      </c>
    </row>
    <row r="20" spans="1:16" x14ac:dyDescent="0.2">
      <c r="M20">
        <v>3</v>
      </c>
      <c r="N20">
        <v>2012</v>
      </c>
      <c r="O20" s="2">
        <v>2.8299999999999999E-2</v>
      </c>
      <c r="P20" s="2">
        <f>AVERAGE($O$17:O19)</f>
        <v>2.5000000000000001E-2</v>
      </c>
    </row>
    <row r="21" spans="1:16" x14ac:dyDescent="0.2">
      <c r="A21" s="3"/>
      <c r="M21">
        <v>4</v>
      </c>
      <c r="N21">
        <v>2011</v>
      </c>
      <c r="O21" s="2">
        <v>4.48E-2</v>
      </c>
      <c r="P21" s="2">
        <f>AVERAGE($O$17:O20)</f>
        <v>2.6100000000000002E-2</v>
      </c>
    </row>
    <row r="22" spans="1:16" x14ac:dyDescent="0.2">
      <c r="M22">
        <v>5</v>
      </c>
      <c r="N22">
        <v>2010</v>
      </c>
      <c r="O22" s="2">
        <v>3.2899999999999999E-2</v>
      </c>
      <c r="P22" s="2">
        <f>AVERAGE($O$17:O21)</f>
        <v>3.0775000000000004E-2</v>
      </c>
    </row>
    <row r="23" spans="1:16" x14ac:dyDescent="0.2">
      <c r="B23" s="2"/>
      <c r="M23">
        <v>6</v>
      </c>
      <c r="N23">
        <v>2009</v>
      </c>
      <c r="O23" s="2">
        <v>2.1000000000000001E-2</v>
      </c>
      <c r="P23" s="2">
        <f>AVERAGE($O$17:O22)</f>
        <v>3.1200000000000006E-2</v>
      </c>
    </row>
    <row r="24" spans="1:16" x14ac:dyDescent="0.2">
      <c r="E24" s="3" t="s">
        <v>3</v>
      </c>
      <c r="M24">
        <v>7</v>
      </c>
      <c r="N24">
        <v>2008</v>
      </c>
      <c r="O24" s="2">
        <v>3.5999999999999997E-2</v>
      </c>
      <c r="P24" s="2">
        <f>AVERAGE($O$17:O23)</f>
        <v>2.9500000000000002E-2</v>
      </c>
    </row>
    <row r="25" spans="1:16" x14ac:dyDescent="0.2">
      <c r="B25" s="1"/>
      <c r="M25">
        <v>8</v>
      </c>
      <c r="N25">
        <v>2007</v>
      </c>
      <c r="O25" s="2">
        <v>2.3E-2</v>
      </c>
      <c r="P25" s="2">
        <f>AVERAGE($O$17:O24)</f>
        <v>3.0428571428571433E-2</v>
      </c>
    </row>
    <row r="26" spans="1:16" x14ac:dyDescent="0.2">
      <c r="E26" t="s">
        <v>30</v>
      </c>
      <c r="F26" s="8">
        <v>1000</v>
      </c>
      <c r="M26">
        <v>9</v>
      </c>
      <c r="N26">
        <v>2006</v>
      </c>
      <c r="O26" s="2">
        <v>2.3E-2</v>
      </c>
      <c r="P26" s="2">
        <f>AVERAGE($O$17:O25)</f>
        <v>2.9500000000000002E-2</v>
      </c>
    </row>
    <row r="27" spans="1:16" x14ac:dyDescent="0.2">
      <c r="E27" t="s">
        <v>29</v>
      </c>
      <c r="F27" s="2">
        <v>2.1899999999999999E-2</v>
      </c>
      <c r="G27" s="1"/>
      <c r="M27">
        <v>10</v>
      </c>
      <c r="N27">
        <v>2005</v>
      </c>
      <c r="O27" s="2">
        <v>2.1000000000000001E-2</v>
      </c>
      <c r="P27" s="2">
        <f>AVERAGE($O$17:O26)</f>
        <v>2.8777777777777777E-2</v>
      </c>
    </row>
    <row r="28" spans="1:16" x14ac:dyDescent="0.2">
      <c r="E28" t="s">
        <v>28</v>
      </c>
      <c r="F28" s="10">
        <v>200</v>
      </c>
      <c r="M28">
        <v>11</v>
      </c>
      <c r="N28">
        <v>2004</v>
      </c>
      <c r="O28" s="2">
        <v>1.2999999999999999E-2</v>
      </c>
      <c r="P28" s="2">
        <f>AVERAGE($O$17:O27)</f>
        <v>2.8000000000000004E-2</v>
      </c>
    </row>
    <row r="29" spans="1:16" x14ac:dyDescent="0.2">
      <c r="E29" t="s">
        <v>27</v>
      </c>
      <c r="F29" s="6">
        <f>F26*(1+F27)^F28</f>
        <v>76151.739884727082</v>
      </c>
      <c r="M29">
        <v>12</v>
      </c>
      <c r="N29">
        <v>2003</v>
      </c>
      <c r="O29" s="2">
        <v>1.4E-2</v>
      </c>
      <c r="P29" s="2">
        <f>AVERAGE($O$17:O28)</f>
        <v>2.6636363636363639E-2</v>
      </c>
    </row>
    <row r="30" spans="1:16" x14ac:dyDescent="0.2">
      <c r="M30">
        <v>13</v>
      </c>
      <c r="N30">
        <v>2002</v>
      </c>
      <c r="O30" s="2">
        <v>1.2999999999999999E-2</v>
      </c>
      <c r="P30" s="2">
        <f>AVERAGE($O$17:O29)</f>
        <v>2.5583333333333336E-2</v>
      </c>
    </row>
    <row r="31" spans="1:16" x14ac:dyDescent="0.2">
      <c r="F31" s="5"/>
      <c r="M31">
        <v>14</v>
      </c>
      <c r="N31">
        <v>2001</v>
      </c>
      <c r="O31" s="2">
        <v>1.2E-2</v>
      </c>
      <c r="P31" s="2">
        <f>AVERAGE($O$17:O30)</f>
        <v>2.4615384615384619E-2</v>
      </c>
    </row>
    <row r="32" spans="1:16" x14ac:dyDescent="0.2">
      <c r="F32" s="4"/>
      <c r="M32">
        <v>15</v>
      </c>
      <c r="N32">
        <v>2000</v>
      </c>
      <c r="O32" s="2">
        <v>8.0000000000000002E-3</v>
      </c>
      <c r="P32" s="2">
        <f>AVERAGE($O$17:O31)</f>
        <v>2.3714285714285719E-2</v>
      </c>
    </row>
    <row r="33" spans="5:16" x14ac:dyDescent="0.2">
      <c r="E33" s="3" t="s">
        <v>35</v>
      </c>
      <c r="M33">
        <v>16</v>
      </c>
      <c r="N33">
        <v>1999</v>
      </c>
      <c r="O33" s="2">
        <v>1.2999999999999999E-2</v>
      </c>
      <c r="P33" s="2">
        <f>AVERAGE($O$17:O32)</f>
        <v>2.2666666666666672E-2</v>
      </c>
    </row>
    <row r="34" spans="5:16" x14ac:dyDescent="0.2">
      <c r="M34">
        <v>17</v>
      </c>
      <c r="N34">
        <v>1998</v>
      </c>
      <c r="O34" s="2">
        <v>1.6E-2</v>
      </c>
      <c r="P34" s="2">
        <f>AVERAGE($O$17:O33)</f>
        <v>2.2062500000000006E-2</v>
      </c>
    </row>
    <row r="35" spans="5:16" x14ac:dyDescent="0.2">
      <c r="E35" t="s">
        <v>9</v>
      </c>
      <c r="F35" s="49">
        <v>0.02</v>
      </c>
      <c r="M35">
        <v>18</v>
      </c>
      <c r="N35">
        <v>1997</v>
      </c>
      <c r="O35" s="2">
        <v>1.7999999999999999E-2</v>
      </c>
      <c r="P35" s="2">
        <f>AVERAGE($O$17:O34)</f>
        <v>2.1705882352941182E-2</v>
      </c>
    </row>
    <row r="36" spans="5:16" x14ac:dyDescent="0.2">
      <c r="E36" t="s">
        <v>4</v>
      </c>
      <c r="F36" s="41">
        <v>12</v>
      </c>
      <c r="M36">
        <v>19</v>
      </c>
      <c r="N36">
        <v>1996</v>
      </c>
      <c r="O36" s="2">
        <v>2.5000000000000001E-2</v>
      </c>
      <c r="P36" s="2">
        <f>AVERAGE($O$17:O35)</f>
        <v>2.1500000000000005E-2</v>
      </c>
    </row>
    <row r="37" spans="5:16" x14ac:dyDescent="0.2">
      <c r="E37" t="s">
        <v>10</v>
      </c>
      <c r="F37" s="17">
        <f>(1+F35)^F36-1</f>
        <v>0.26824179456254527</v>
      </c>
      <c r="M37">
        <v>20</v>
      </c>
      <c r="N37">
        <v>1995</v>
      </c>
      <c r="O37" s="2">
        <v>2.5999999999999999E-2</v>
      </c>
      <c r="P37" s="2">
        <f>AVERAGE($O$17:O36)</f>
        <v>2.1684210526315795E-2</v>
      </c>
    </row>
    <row r="38" spans="5:16" x14ac:dyDescent="0.2">
      <c r="M38">
        <v>21</v>
      </c>
      <c r="N38">
        <v>1994</v>
      </c>
      <c r="O38" s="2">
        <v>0.02</v>
      </c>
      <c r="P38" s="2">
        <f>AVERAGE($O$17:O37)</f>
        <v>2.190000000000001E-2</v>
      </c>
    </row>
    <row r="39" spans="5:16" x14ac:dyDescent="0.2">
      <c r="M39">
        <v>22</v>
      </c>
      <c r="N39">
        <v>1993</v>
      </c>
      <c r="O39" s="2">
        <v>2.5000000000000001E-2</v>
      </c>
      <c r="P39" s="2">
        <f>AVERAGE($O$17:O38)</f>
        <v>2.1809523809523817E-2</v>
      </c>
    </row>
    <row r="40" spans="5:16" x14ac:dyDescent="0.2">
      <c r="M40">
        <v>23</v>
      </c>
      <c r="N40">
        <v>1992</v>
      </c>
      <c r="O40" s="2">
        <v>4.2999999999999997E-2</v>
      </c>
      <c r="P40" s="2">
        <f>AVERAGE($O$17:O39)</f>
        <v>2.1954545454545463E-2</v>
      </c>
    </row>
    <row r="41" spans="5:16" x14ac:dyDescent="0.2">
      <c r="M41">
        <v>24</v>
      </c>
      <c r="N41">
        <v>1991</v>
      </c>
      <c r="O41" s="2">
        <v>7.4999999999999997E-2</v>
      </c>
      <c r="P41" s="2">
        <f>AVERAGE($O$17:O40)</f>
        <v>2.2869565217391315E-2</v>
      </c>
    </row>
    <row r="42" spans="5:16" x14ac:dyDescent="0.2">
      <c r="M42">
        <v>25</v>
      </c>
      <c r="N42">
        <v>1990</v>
      </c>
      <c r="O42" s="2">
        <v>7.0000000000000007E-2</v>
      </c>
      <c r="P42" s="2">
        <f>AVERAGE($O$17:O41)</f>
        <v>2.5041666666666674E-2</v>
      </c>
    </row>
    <row r="43" spans="5:16" x14ac:dyDescent="0.2">
      <c r="M43">
        <v>26</v>
      </c>
      <c r="N43">
        <v>1989</v>
      </c>
      <c r="O43" s="2">
        <v>5.1999999999999998E-2</v>
      </c>
      <c r="P43" s="2">
        <f>AVERAGE($O$17:O42)</f>
        <v>2.684000000000001E-2</v>
      </c>
    </row>
    <row r="44" spans="5:16" x14ac:dyDescent="0.2">
      <c r="M44">
        <v>27</v>
      </c>
      <c r="N44">
        <v>1988</v>
      </c>
      <c r="O44" s="2">
        <v>4.9000000000000002E-2</v>
      </c>
      <c r="P44" s="2">
        <f>AVERAGE($O$17:O43)</f>
        <v>2.7807692307692318E-2</v>
      </c>
    </row>
    <row r="45" spans="5:16" x14ac:dyDescent="0.2">
      <c r="M45">
        <v>28</v>
      </c>
      <c r="N45">
        <v>1987</v>
      </c>
      <c r="O45" s="2">
        <v>4.2000000000000003E-2</v>
      </c>
      <c r="P45" s="2">
        <f>AVERAGE($O$17:O44)</f>
        <v>2.8592592592592607E-2</v>
      </c>
    </row>
    <row r="46" spans="5:16" x14ac:dyDescent="0.2">
      <c r="M46">
        <v>29</v>
      </c>
      <c r="N46">
        <v>1986</v>
      </c>
      <c r="O46" s="2">
        <v>3.4000000000000002E-2</v>
      </c>
      <c r="P46" s="2">
        <f>AVERAGE($O$17:O45)</f>
        <v>2.9071428571428585E-2</v>
      </c>
    </row>
    <row r="47" spans="5:16" x14ac:dyDescent="0.2">
      <c r="M47">
        <v>30</v>
      </c>
      <c r="N47">
        <v>1985</v>
      </c>
      <c r="O47" s="2">
        <v>6.0999999999999999E-2</v>
      </c>
      <c r="P47" s="2">
        <f>AVERAGE($O$17:O46)</f>
        <v>2.9241379310344841E-2</v>
      </c>
    </row>
    <row r="48" spans="5:16" x14ac:dyDescent="0.2">
      <c r="M48">
        <v>31</v>
      </c>
      <c r="N48">
        <v>1984</v>
      </c>
      <c r="O48" s="2">
        <v>0.05</v>
      </c>
      <c r="P48" s="2">
        <f>AVERAGE($O$17:O47)</f>
        <v>3.0300000000000014E-2</v>
      </c>
    </row>
    <row r="49" spans="13:16" x14ac:dyDescent="0.2">
      <c r="M49">
        <v>32</v>
      </c>
      <c r="N49">
        <v>1983</v>
      </c>
      <c r="O49" s="2">
        <v>4.5999999999999999E-2</v>
      </c>
      <c r="P49" s="2">
        <f>AVERAGE($O$17:O48)</f>
        <v>3.0935483870967759E-2</v>
      </c>
    </row>
    <row r="50" spans="13:16" x14ac:dyDescent="0.2">
      <c r="M50">
        <v>33</v>
      </c>
      <c r="N50">
        <v>1982</v>
      </c>
      <c r="O50" s="2">
        <v>8.5999999999999993E-2</v>
      </c>
      <c r="P50" s="2">
        <f>AVERAGE($O$17:O49)</f>
        <v>3.1406250000000017E-2</v>
      </c>
    </row>
    <row r="51" spans="13:16" x14ac:dyDescent="0.2">
      <c r="M51">
        <v>34</v>
      </c>
      <c r="N51">
        <v>1981</v>
      </c>
      <c r="O51" s="2">
        <v>0.11899999999999999</v>
      </c>
      <c r="P51" s="2">
        <f>AVERAGE($O$17:O50)</f>
        <v>3.3060606060606082E-2</v>
      </c>
    </row>
    <row r="52" spans="13:16" x14ac:dyDescent="0.2">
      <c r="M52">
        <v>35</v>
      </c>
      <c r="N52">
        <v>1980</v>
      </c>
      <c r="O52" s="2">
        <v>0.18</v>
      </c>
      <c r="P52" s="2">
        <f>AVERAGE($O$17:O51)</f>
        <v>3.5588235294117664E-2</v>
      </c>
    </row>
    <row r="53" spans="13:16" x14ac:dyDescent="0.2">
      <c r="M53">
        <v>36</v>
      </c>
      <c r="N53">
        <v>1979</v>
      </c>
      <c r="O53" s="2">
        <v>0.13400000000000001</v>
      </c>
      <c r="P53" s="2">
        <f>AVERAGE($O$17:O52)</f>
        <v>3.971428571428573E-2</v>
      </c>
    </row>
    <row r="54" spans="13:16" x14ac:dyDescent="0.2">
      <c r="M54">
        <v>37</v>
      </c>
      <c r="N54">
        <v>1978</v>
      </c>
      <c r="O54" s="2">
        <v>8.3000000000000004E-2</v>
      </c>
      <c r="P54" s="2">
        <f>AVERAGE($O$17:O53)</f>
        <v>4.2333333333333348E-2</v>
      </c>
    </row>
    <row r="55" spans="13:16" x14ac:dyDescent="0.2">
      <c r="M55">
        <v>38</v>
      </c>
      <c r="N55">
        <v>1977</v>
      </c>
      <c r="O55" s="2">
        <v>0.158</v>
      </c>
      <c r="P55" s="2">
        <f>AVERAGE($O$17:O54)</f>
        <v>4.3432432432432444E-2</v>
      </c>
    </row>
    <row r="56" spans="13:16" x14ac:dyDescent="0.2">
      <c r="M56">
        <v>39</v>
      </c>
      <c r="N56">
        <v>1976</v>
      </c>
      <c r="O56" s="2">
        <v>0.16500000000000001</v>
      </c>
      <c r="P56" s="2">
        <f>AVERAGE($O$17:O55)</f>
        <v>4.644736842105264E-2</v>
      </c>
    </row>
    <row r="57" spans="13:16" x14ac:dyDescent="0.2">
      <c r="M57">
        <v>40</v>
      </c>
      <c r="N57">
        <v>1975</v>
      </c>
      <c r="O57" s="2">
        <v>0.24199999999999999</v>
      </c>
      <c r="P57" s="2">
        <f>AVERAGE($O$17:O56)</f>
        <v>4.9487179487179497E-2</v>
      </c>
    </row>
    <row r="58" spans="13:16" x14ac:dyDescent="0.2">
      <c r="M58">
        <v>41</v>
      </c>
      <c r="N58">
        <v>1974</v>
      </c>
      <c r="O58" s="2">
        <v>0.16</v>
      </c>
      <c r="P58" s="2">
        <f>AVERAGE($O$17:O57)</f>
        <v>5.4300000000000015E-2</v>
      </c>
    </row>
    <row r="59" spans="13:16" x14ac:dyDescent="0.2">
      <c r="M59">
        <v>42</v>
      </c>
      <c r="N59">
        <v>1973</v>
      </c>
      <c r="O59" s="2">
        <v>9.1999999999999998E-2</v>
      </c>
      <c r="P59" s="2">
        <f>AVERAGE($O$17:O58)</f>
        <v>5.6878048780487821E-2</v>
      </c>
    </row>
    <row r="60" spans="13:16" x14ac:dyDescent="0.2">
      <c r="M60">
        <v>43</v>
      </c>
      <c r="N60">
        <v>1972</v>
      </c>
      <c r="O60" s="2">
        <v>7.0999999999999994E-2</v>
      </c>
      <c r="P60" s="2">
        <f>AVERAGE($O$17:O59)</f>
        <v>5.7714285714285732E-2</v>
      </c>
    </row>
    <row r="61" spans="13:16" x14ac:dyDescent="0.2">
      <c r="M61">
        <v>44</v>
      </c>
      <c r="N61">
        <v>1971</v>
      </c>
      <c r="O61" s="2">
        <v>9.4E-2</v>
      </c>
      <c r="P61" s="2">
        <f>AVERAGE($O$17:O60)</f>
        <v>5.8023255813953512E-2</v>
      </c>
    </row>
    <row r="62" spans="13:16" x14ac:dyDescent="0.2">
      <c r="M62">
        <v>45</v>
      </c>
      <c r="N62">
        <v>1970</v>
      </c>
      <c r="O62" s="2">
        <v>6.4000000000000001E-2</v>
      </c>
      <c r="P62" s="2">
        <f>AVERAGE($O$17:O61)</f>
        <v>5.884090909090911E-2</v>
      </c>
    </row>
    <row r="63" spans="13:16" x14ac:dyDescent="0.2">
      <c r="M63">
        <v>46</v>
      </c>
      <c r="N63">
        <v>1969</v>
      </c>
      <c r="O63" s="2">
        <v>5.3999999999999999E-2</v>
      </c>
      <c r="P63" s="2">
        <f>AVERAGE($O$17:O62)</f>
        <v>5.8955555555555574E-2</v>
      </c>
    </row>
    <row r="64" spans="13:16" x14ac:dyDescent="0.2">
      <c r="M64">
        <v>47</v>
      </c>
      <c r="N64">
        <v>1968</v>
      </c>
      <c r="O64" s="2">
        <v>4.7E-2</v>
      </c>
      <c r="P64" s="2">
        <f>AVERAGE($O$17:O63)</f>
        <v>5.8847826086956538E-2</v>
      </c>
    </row>
    <row r="65" spans="13:16" x14ac:dyDescent="0.2">
      <c r="M65">
        <v>48</v>
      </c>
      <c r="N65">
        <v>1967</v>
      </c>
      <c r="O65" s="2">
        <v>2.5000000000000001E-2</v>
      </c>
      <c r="P65" s="2">
        <f>AVERAGE($O$17:O64)</f>
        <v>5.8595744680851082E-2</v>
      </c>
    </row>
    <row r="66" spans="13:16" x14ac:dyDescent="0.2">
      <c r="M66">
        <v>49</v>
      </c>
      <c r="N66">
        <v>1966</v>
      </c>
      <c r="O66" s="2">
        <v>3.9E-2</v>
      </c>
      <c r="P66" s="2">
        <f>AVERAGE($O$17:O65)</f>
        <v>5.7895833333333348E-2</v>
      </c>
    </row>
    <row r="67" spans="13:16" x14ac:dyDescent="0.2">
      <c r="M67">
        <v>50</v>
      </c>
      <c r="N67">
        <v>1965</v>
      </c>
      <c r="O67" s="2">
        <v>4.8000000000000001E-2</v>
      </c>
      <c r="P67" s="2">
        <f>AVERAGE($O$17:O66)</f>
        <v>5.7510204081632675E-2</v>
      </c>
    </row>
    <row r="68" spans="13:16" x14ac:dyDescent="0.2">
      <c r="M68">
        <v>51</v>
      </c>
      <c r="N68">
        <v>1964</v>
      </c>
      <c r="O68" s="2">
        <v>3.3000000000000002E-2</v>
      </c>
      <c r="P68" s="2">
        <f>AVERAGE($O$17:O67)</f>
        <v>5.7320000000000017E-2</v>
      </c>
    </row>
    <row r="69" spans="13:16" x14ac:dyDescent="0.2">
      <c r="M69">
        <v>52</v>
      </c>
      <c r="N69">
        <v>1963</v>
      </c>
      <c r="O69" s="2">
        <v>0.02</v>
      </c>
      <c r="P69" s="2">
        <f>AVERAGE($O$17:O68)</f>
        <v>5.6843137254901976E-2</v>
      </c>
    </row>
    <row r="70" spans="13:16" x14ac:dyDescent="0.2">
      <c r="M70">
        <v>53</v>
      </c>
      <c r="N70">
        <v>1962</v>
      </c>
      <c r="O70" s="2">
        <v>4.2999999999999997E-2</v>
      </c>
      <c r="P70" s="2">
        <f>AVERAGE($O$17:O69)</f>
        <v>5.6134615384615401E-2</v>
      </c>
    </row>
    <row r="71" spans="13:16" x14ac:dyDescent="0.2">
      <c r="M71">
        <v>54</v>
      </c>
      <c r="N71">
        <v>1961</v>
      </c>
      <c r="O71" s="2">
        <v>3.4000000000000002E-2</v>
      </c>
      <c r="P71" s="2">
        <f>AVERAGE($O$17:O70)</f>
        <v>5.5886792452830208E-2</v>
      </c>
    </row>
    <row r="72" spans="13:16" x14ac:dyDescent="0.2">
      <c r="M72">
        <v>55</v>
      </c>
      <c r="N72">
        <v>1960</v>
      </c>
      <c r="O72" s="2">
        <v>0.01</v>
      </c>
      <c r="P72" s="2">
        <f>AVERAGE($O$17:O71)</f>
        <v>5.54814814814815E-2</v>
      </c>
    </row>
    <row r="73" spans="13:16" x14ac:dyDescent="0.2">
      <c r="M73">
        <v>56</v>
      </c>
      <c r="N73">
        <v>1959</v>
      </c>
      <c r="O73" s="2">
        <v>6.0000000000000001E-3</v>
      </c>
      <c r="P73" s="2">
        <f>AVERAGE($O$17:O72)</f>
        <v>5.465454545454547E-2</v>
      </c>
    </row>
    <row r="74" spans="13:16" x14ac:dyDescent="0.2">
      <c r="M74">
        <v>57</v>
      </c>
      <c r="N74">
        <v>1958</v>
      </c>
      <c r="O74" s="2">
        <v>0.03</v>
      </c>
      <c r="P74" s="2">
        <f>AVERAGE($O$17:O73)</f>
        <v>5.3785714285714291E-2</v>
      </c>
    </row>
    <row r="75" spans="13:16" x14ac:dyDescent="0.2">
      <c r="M75">
        <v>58</v>
      </c>
      <c r="N75">
        <v>1957</v>
      </c>
      <c r="O75" s="2">
        <v>3.6999999999999998E-2</v>
      </c>
      <c r="P75" s="2">
        <f>AVERAGE($O$17:O74)</f>
        <v>5.3368421052631586E-2</v>
      </c>
    </row>
    <row r="76" spans="13:16" x14ac:dyDescent="0.2">
      <c r="M76">
        <v>59</v>
      </c>
      <c r="N76">
        <v>1956</v>
      </c>
      <c r="O76" s="2">
        <v>4.9000000000000002E-2</v>
      </c>
      <c r="P76" s="2">
        <f>AVERAGE($O$17:O75)</f>
        <v>5.3086206896551726E-2</v>
      </c>
    </row>
    <row r="77" spans="13:16" x14ac:dyDescent="0.2">
      <c r="M77">
        <v>60</v>
      </c>
      <c r="N77">
        <v>1955</v>
      </c>
      <c r="O77" s="2">
        <v>4.4999999999999998E-2</v>
      </c>
      <c r="P77" s="2">
        <f>AVERAGE($O$17:O76)</f>
        <v>5.3016949152542375E-2</v>
      </c>
    </row>
    <row r="78" spans="13:16" x14ac:dyDescent="0.2">
      <c r="M78">
        <v>61</v>
      </c>
      <c r="N78">
        <v>1954</v>
      </c>
      <c r="O78" s="2">
        <v>1.7999999999999999E-2</v>
      </c>
      <c r="P78" s="2">
        <f>AVERAGE($O$17:O77)</f>
        <v>5.2883333333333331E-2</v>
      </c>
    </row>
    <row r="79" spans="13:16" x14ac:dyDescent="0.2">
      <c r="M79">
        <v>62</v>
      </c>
      <c r="N79">
        <v>1953</v>
      </c>
      <c r="O79" s="2">
        <v>3.1E-2</v>
      </c>
      <c r="P79" s="2">
        <f>AVERAGE($O$17:O78)</f>
        <v>5.2311475409836064E-2</v>
      </c>
    </row>
    <row r="80" spans="13:16" x14ac:dyDescent="0.2">
      <c r="M80">
        <v>63</v>
      </c>
      <c r="N80">
        <v>1952</v>
      </c>
      <c r="O80" s="2">
        <v>9.1999999999999998E-2</v>
      </c>
      <c r="P80" s="2">
        <f>AVERAGE($O$17:O79)</f>
        <v>5.1967741935483869E-2</v>
      </c>
    </row>
    <row r="81" spans="13:16" x14ac:dyDescent="0.2">
      <c r="M81">
        <v>64</v>
      </c>
      <c r="N81">
        <v>1951</v>
      </c>
      <c r="O81" s="2">
        <v>9.0999999999999998E-2</v>
      </c>
      <c r="P81" s="2">
        <f>AVERAGE($O$17:O80)</f>
        <v>5.2603174603174603E-2</v>
      </c>
    </row>
    <row r="82" spans="13:16" x14ac:dyDescent="0.2">
      <c r="M82">
        <v>65</v>
      </c>
      <c r="N82">
        <v>1950</v>
      </c>
      <c r="O82" s="2">
        <v>3.1E-2</v>
      </c>
      <c r="P82" s="2">
        <f>AVERAGE($O$17:O81)</f>
        <v>5.3203125000000004E-2</v>
      </c>
    </row>
    <row r="83" spans="13:16" x14ac:dyDescent="0.2">
      <c r="M83">
        <v>66</v>
      </c>
      <c r="N83">
        <v>1949</v>
      </c>
      <c r="O83" s="2">
        <v>2.8000000000000001E-2</v>
      </c>
      <c r="P83" s="2">
        <f>AVERAGE($O$17:O82)</f>
        <v>5.2861538461538467E-2</v>
      </c>
    </row>
    <row r="84" spans="13:16" x14ac:dyDescent="0.2">
      <c r="M84">
        <v>67</v>
      </c>
      <c r="N84">
        <v>1948</v>
      </c>
      <c r="O84" s="2">
        <v>7.6999999999999999E-2</v>
      </c>
      <c r="P84" s="2">
        <f>AVERAGE($O$17:O83)</f>
        <v>5.2484848484848488E-2</v>
      </c>
    </row>
    <row r="85" spans="13:16" x14ac:dyDescent="0.2">
      <c r="M85">
        <v>68</v>
      </c>
      <c r="N85">
        <v>1947</v>
      </c>
      <c r="O85" s="2">
        <v>7.0000000000000007E-2</v>
      </c>
      <c r="P85" s="2">
        <f>AVERAGE($O$17:O84)</f>
        <v>5.2850746268656719E-2</v>
      </c>
    </row>
    <row r="86" spans="13:16" x14ac:dyDescent="0.2">
      <c r="M86">
        <v>69</v>
      </c>
      <c r="N86">
        <v>1946</v>
      </c>
      <c r="O86" s="2">
        <v>3.1E-2</v>
      </c>
      <c r="P86" s="2">
        <f>AVERAGE($O$17:O85)</f>
        <v>5.3102941176470589E-2</v>
      </c>
    </row>
    <row r="87" spans="13:16" x14ac:dyDescent="0.2">
      <c r="M87">
        <v>70</v>
      </c>
      <c r="N87">
        <v>1945</v>
      </c>
      <c r="O87" s="2">
        <v>2.8000000000000001E-2</v>
      </c>
      <c r="P87" s="2">
        <f>AVERAGE($O$17:O86)</f>
        <v>5.2782608695652176E-2</v>
      </c>
    </row>
    <row r="88" spans="13:16" x14ac:dyDescent="0.2">
      <c r="M88">
        <v>71</v>
      </c>
      <c r="N88">
        <v>1944</v>
      </c>
      <c r="O88" s="2">
        <v>2.7E-2</v>
      </c>
      <c r="P88" s="2">
        <f>AVERAGE($O$17:O87)</f>
        <v>5.2428571428571435E-2</v>
      </c>
    </row>
    <row r="89" spans="13:16" x14ac:dyDescent="0.2">
      <c r="M89">
        <v>72</v>
      </c>
      <c r="N89">
        <v>1943</v>
      </c>
      <c r="O89" s="2">
        <v>3.4000000000000002E-2</v>
      </c>
      <c r="P89" s="2">
        <f>AVERAGE($O$17:O88)</f>
        <v>5.2070422535211276E-2</v>
      </c>
    </row>
    <row r="90" spans="13:16" x14ac:dyDescent="0.2">
      <c r="M90">
        <v>73</v>
      </c>
      <c r="N90">
        <v>1942</v>
      </c>
      <c r="O90" s="2">
        <v>7.0999999999999994E-2</v>
      </c>
      <c r="P90" s="2">
        <f>AVERAGE($O$17:O89)</f>
        <v>5.1819444444444446E-2</v>
      </c>
    </row>
    <row r="91" spans="13:16" x14ac:dyDescent="0.2">
      <c r="M91">
        <v>74</v>
      </c>
      <c r="N91">
        <v>1941</v>
      </c>
      <c r="O91" s="2">
        <v>0.108</v>
      </c>
      <c r="P91" s="2">
        <f>AVERAGE($O$17:O90)</f>
        <v>5.2082191780821928E-2</v>
      </c>
    </row>
    <row r="92" spans="13:16" x14ac:dyDescent="0.2">
      <c r="M92">
        <v>75</v>
      </c>
      <c r="N92">
        <v>1940</v>
      </c>
      <c r="O92" s="2">
        <v>0.16800000000000001</v>
      </c>
      <c r="P92" s="2">
        <f>AVERAGE($O$17:O91)</f>
        <v>5.2837837837837846E-2</v>
      </c>
    </row>
    <row r="93" spans="13:16" x14ac:dyDescent="0.2">
      <c r="M93">
        <v>76</v>
      </c>
      <c r="N93">
        <v>1939</v>
      </c>
      <c r="O93" s="2">
        <v>2.8000000000000001E-2</v>
      </c>
      <c r="P93" s="2">
        <f>AVERAGE($O$17:O92)</f>
        <v>5.4373333333333336E-2</v>
      </c>
    </row>
    <row r="94" spans="13:16" x14ac:dyDescent="0.2">
      <c r="M94">
        <v>77</v>
      </c>
      <c r="N94">
        <v>1938</v>
      </c>
      <c r="O94" s="2">
        <v>1.6E-2</v>
      </c>
      <c r="P94" s="2">
        <f>AVERAGE($O$17:O93)</f>
        <v>5.4026315789473679E-2</v>
      </c>
    </row>
    <row r="95" spans="13:16" x14ac:dyDescent="0.2">
      <c r="M95">
        <v>78</v>
      </c>
      <c r="N95">
        <v>1937</v>
      </c>
      <c r="O95" s="2">
        <v>3.4000000000000002E-2</v>
      </c>
      <c r="P95" s="2">
        <f>AVERAGE($O$17:O94)</f>
        <v>5.3532467532467529E-2</v>
      </c>
    </row>
    <row r="96" spans="13:16" x14ac:dyDescent="0.2">
      <c r="M96">
        <v>79</v>
      </c>
      <c r="N96">
        <v>1936</v>
      </c>
      <c r="O96" s="2">
        <v>7.0000000000000001E-3</v>
      </c>
      <c r="P96" s="2">
        <f>AVERAGE($O$17:O95)</f>
        <v>5.3282051282051275E-2</v>
      </c>
    </row>
    <row r="97" spans="13:16" x14ac:dyDescent="0.2">
      <c r="M97">
        <v>80</v>
      </c>
      <c r="N97">
        <v>1935</v>
      </c>
      <c r="O97" s="2">
        <v>7.0000000000000001E-3</v>
      </c>
      <c r="P97" s="2">
        <f>AVERAGE($O$17:O96)</f>
        <v>5.2696202531645558E-2</v>
      </c>
    </row>
    <row r="98" spans="13:16" x14ac:dyDescent="0.2">
      <c r="M98">
        <v>81</v>
      </c>
      <c r="N98">
        <v>1934</v>
      </c>
      <c r="O98" s="2">
        <v>0</v>
      </c>
      <c r="P98" s="2">
        <f>AVERAGE($O$17:O97)</f>
        <v>5.2124999999999991E-2</v>
      </c>
    </row>
    <row r="99" spans="13:16" x14ac:dyDescent="0.2">
      <c r="M99">
        <v>82</v>
      </c>
      <c r="N99">
        <v>1933</v>
      </c>
      <c r="O99" s="2">
        <v>-2.1000000000000001E-2</v>
      </c>
      <c r="P99" s="2">
        <f>AVERAGE($O$17:O98)</f>
        <v>5.1481481481481468E-2</v>
      </c>
    </row>
    <row r="100" spans="13:16" x14ac:dyDescent="0.2">
      <c r="M100">
        <v>83</v>
      </c>
      <c r="N100">
        <v>1932</v>
      </c>
      <c r="O100" s="2">
        <v>-2.5999999999999999E-2</v>
      </c>
      <c r="P100" s="2">
        <f>AVERAGE($O$17:O99)</f>
        <v>5.0597560975609746E-2</v>
      </c>
    </row>
    <row r="101" spans="13:16" x14ac:dyDescent="0.2">
      <c r="M101">
        <v>84</v>
      </c>
      <c r="N101">
        <v>1931</v>
      </c>
      <c r="O101" s="2">
        <v>-4.2999999999999997E-2</v>
      </c>
      <c r="P101" s="2">
        <f>AVERAGE($O$17:O100)</f>
        <v>4.9674698795180716E-2</v>
      </c>
    </row>
    <row r="102" spans="13:16" x14ac:dyDescent="0.2">
      <c r="M102">
        <v>85</v>
      </c>
      <c r="N102">
        <v>1930</v>
      </c>
      <c r="O102" s="2">
        <v>-2.8000000000000001E-2</v>
      </c>
      <c r="P102" s="2">
        <f>AVERAGE($O$17:O101)</f>
        <v>4.8571428571428564E-2</v>
      </c>
    </row>
    <row r="103" spans="13:16" x14ac:dyDescent="0.2">
      <c r="M103">
        <v>86</v>
      </c>
      <c r="N103">
        <v>1929</v>
      </c>
      <c r="O103" s="2">
        <v>-8.9999999999999993E-3</v>
      </c>
      <c r="P103" s="2">
        <f>AVERAGE($O$17:O102)</f>
        <v>4.767058823529411E-2</v>
      </c>
    </row>
    <row r="104" spans="13:16" x14ac:dyDescent="0.2">
      <c r="M104">
        <v>87</v>
      </c>
      <c r="N104">
        <v>1928</v>
      </c>
      <c r="O104" s="2">
        <v>-3.0000000000000001E-3</v>
      </c>
      <c r="P104" s="2">
        <f>AVERAGE($O$17:O103)</f>
        <v>4.7011627906976737E-2</v>
      </c>
    </row>
    <row r="105" spans="13:16" x14ac:dyDescent="0.2">
      <c r="M105">
        <v>88</v>
      </c>
      <c r="N105">
        <v>1927</v>
      </c>
      <c r="O105" s="2">
        <v>-2.4E-2</v>
      </c>
      <c r="P105" s="2">
        <f>AVERAGE($O$17:O104)</f>
        <v>4.6436781609195392E-2</v>
      </c>
    </row>
    <row r="106" spans="13:16" x14ac:dyDescent="0.2">
      <c r="M106">
        <v>89</v>
      </c>
      <c r="N106">
        <v>1926</v>
      </c>
      <c r="O106" s="2">
        <v>-8.0000000000000002E-3</v>
      </c>
      <c r="P106" s="2">
        <f>AVERAGE($O$17:O105)</f>
        <v>4.5636363636363628E-2</v>
      </c>
    </row>
    <row r="107" spans="13:16" x14ac:dyDescent="0.2">
      <c r="M107">
        <v>90</v>
      </c>
      <c r="N107">
        <v>1925</v>
      </c>
      <c r="O107" s="2">
        <v>3.0000000000000001E-3</v>
      </c>
      <c r="P107" s="2">
        <f>AVERAGE($O$17:O106)</f>
        <v>4.5033707865168526E-2</v>
      </c>
    </row>
    <row r="108" spans="13:16" x14ac:dyDescent="0.2">
      <c r="M108">
        <v>91</v>
      </c>
      <c r="N108">
        <v>1924</v>
      </c>
      <c r="O108" s="2">
        <v>-7.0000000000000001E-3</v>
      </c>
      <c r="P108" s="2">
        <f>AVERAGE($O$17:O107)</f>
        <v>4.4566666666666657E-2</v>
      </c>
    </row>
    <row r="109" spans="13:16" x14ac:dyDescent="0.2">
      <c r="M109">
        <v>92</v>
      </c>
      <c r="N109">
        <v>1923</v>
      </c>
      <c r="O109" s="2">
        <v>-0.06</v>
      </c>
      <c r="P109" s="2">
        <f>AVERAGE($O$17:O108)</f>
        <v>4.3999999999999997E-2</v>
      </c>
    </row>
    <row r="110" spans="13:16" x14ac:dyDescent="0.2">
      <c r="M110">
        <v>93</v>
      </c>
      <c r="N110">
        <v>1922</v>
      </c>
      <c r="O110" s="2">
        <v>-0.14000000000000001</v>
      </c>
      <c r="P110" s="2">
        <f>AVERAGE($O$17:O109)</f>
        <v>4.2869565217391298E-2</v>
      </c>
    </row>
    <row r="111" spans="13:16" x14ac:dyDescent="0.2">
      <c r="M111">
        <v>94</v>
      </c>
      <c r="N111">
        <v>1921</v>
      </c>
      <c r="O111" s="2">
        <v>-8.5999999999999993E-2</v>
      </c>
      <c r="P111" s="2">
        <f>AVERAGE($O$17:O110)</f>
        <v>4.0903225806451608E-2</v>
      </c>
    </row>
    <row r="112" spans="13:16" x14ac:dyDescent="0.2">
      <c r="M112">
        <v>95</v>
      </c>
      <c r="N112">
        <v>1920</v>
      </c>
      <c r="O112" s="2">
        <v>0.154</v>
      </c>
      <c r="P112" s="2">
        <f>AVERAGE($O$17:O111)</f>
        <v>3.9553191489361698E-2</v>
      </c>
    </row>
    <row r="113" spans="13:16" x14ac:dyDescent="0.2">
      <c r="M113">
        <v>96</v>
      </c>
      <c r="N113">
        <v>1919</v>
      </c>
      <c r="O113" s="2">
        <v>0.10100000000000001</v>
      </c>
      <c r="P113" s="2">
        <f>AVERAGE($O$17:O112)</f>
        <v>4.0757894736842097E-2</v>
      </c>
    </row>
    <row r="114" spans="13:16" x14ac:dyDescent="0.2">
      <c r="M114">
        <v>97</v>
      </c>
      <c r="N114">
        <v>1918</v>
      </c>
      <c r="O114" s="2">
        <v>0.22</v>
      </c>
      <c r="P114" s="2">
        <f>AVERAGE($O$17:O113)</f>
        <v>4.1385416666666661E-2</v>
      </c>
    </row>
    <row r="115" spans="13:16" x14ac:dyDescent="0.2">
      <c r="M115">
        <v>98</v>
      </c>
      <c r="N115">
        <v>1917</v>
      </c>
      <c r="O115" s="2">
        <v>0.252</v>
      </c>
      <c r="P115" s="2">
        <f>AVERAGE($O$17:O114)</f>
        <v>4.3226804123711333E-2</v>
      </c>
    </row>
    <row r="116" spans="13:16" x14ac:dyDescent="0.2">
      <c r="M116">
        <v>99</v>
      </c>
      <c r="N116">
        <v>1916</v>
      </c>
      <c r="O116" s="2">
        <v>0.18099999999999999</v>
      </c>
      <c r="P116" s="2">
        <f>AVERAGE($O$17:O115)</f>
        <v>4.5357142857142853E-2</v>
      </c>
    </row>
    <row r="117" spans="13:16" x14ac:dyDescent="0.2">
      <c r="M117">
        <v>100</v>
      </c>
      <c r="N117">
        <v>1915</v>
      </c>
      <c r="O117" s="2">
        <v>0.125</v>
      </c>
      <c r="P117" s="2">
        <f>AVERAGE($O$17:O116)</f>
        <v>4.6727272727272721E-2</v>
      </c>
    </row>
    <row r="118" spans="13:16" x14ac:dyDescent="0.2">
      <c r="M118">
        <v>101</v>
      </c>
      <c r="N118">
        <v>1914</v>
      </c>
      <c r="O118" s="2">
        <v>-3.0000000000000001E-3</v>
      </c>
      <c r="P118" s="2">
        <f>AVERAGE($O$17:O117)</f>
        <v>4.7509999999999997E-2</v>
      </c>
    </row>
    <row r="119" spans="13:16" x14ac:dyDescent="0.2">
      <c r="M119">
        <v>102</v>
      </c>
      <c r="N119">
        <v>1913</v>
      </c>
      <c r="O119" s="2">
        <v>-4.0000000000000001E-3</v>
      </c>
      <c r="P119" s="2">
        <f>AVERAGE($O$17:O118)</f>
        <v>4.7009900990099003E-2</v>
      </c>
    </row>
    <row r="120" spans="13:16" x14ac:dyDescent="0.2">
      <c r="M120">
        <v>103</v>
      </c>
      <c r="N120">
        <v>1912</v>
      </c>
      <c r="O120" s="2">
        <v>0.03</v>
      </c>
      <c r="P120" s="2">
        <f>AVERAGE($O$17:O119)</f>
        <v>4.6509803921568622E-2</v>
      </c>
    </row>
    <row r="121" spans="13:16" x14ac:dyDescent="0.2">
      <c r="M121">
        <v>104</v>
      </c>
      <c r="N121">
        <v>1911</v>
      </c>
      <c r="O121" s="2">
        <v>1E-3</v>
      </c>
      <c r="P121" s="2">
        <f>AVERAGE($O$17:O120)</f>
        <v>4.6349514563106799E-2</v>
      </c>
    </row>
    <row r="122" spans="13:16" x14ac:dyDescent="0.2">
      <c r="M122">
        <v>105</v>
      </c>
      <c r="N122">
        <v>1910</v>
      </c>
      <c r="O122" s="2">
        <v>8.9999999999999993E-3</v>
      </c>
      <c r="P122" s="2">
        <f>AVERAGE($O$17:O121)</f>
        <v>4.5913461538461542E-2</v>
      </c>
    </row>
    <row r="123" spans="13:16" x14ac:dyDescent="0.2">
      <c r="M123">
        <v>106</v>
      </c>
      <c r="N123">
        <v>1909</v>
      </c>
      <c r="O123" s="2">
        <v>5.0000000000000001E-3</v>
      </c>
      <c r="P123" s="2">
        <f>AVERAGE($O$17:O122)</f>
        <v>4.5561904761904769E-2</v>
      </c>
    </row>
    <row r="124" spans="13:16" x14ac:dyDescent="0.2">
      <c r="M124">
        <v>107</v>
      </c>
      <c r="N124">
        <v>1908</v>
      </c>
      <c r="O124" s="2">
        <v>5.0000000000000001E-3</v>
      </c>
      <c r="P124" s="2">
        <f>AVERAGE($O$17:O123)</f>
        <v>4.5179245283018872E-2</v>
      </c>
    </row>
    <row r="125" spans="13:16" x14ac:dyDescent="0.2">
      <c r="M125">
        <v>108</v>
      </c>
      <c r="N125">
        <v>1907</v>
      </c>
      <c r="O125" s="2">
        <v>1.2E-2</v>
      </c>
      <c r="P125" s="2">
        <f>AVERAGE($O$17:O124)</f>
        <v>4.4803738317757011E-2</v>
      </c>
    </row>
    <row r="126" spans="13:16" x14ac:dyDescent="0.2">
      <c r="M126">
        <v>109</v>
      </c>
      <c r="N126">
        <v>1906</v>
      </c>
      <c r="O126" s="2">
        <v>0</v>
      </c>
      <c r="P126" s="2">
        <f>AVERAGE($O$17:O125)</f>
        <v>4.4499999999999998E-2</v>
      </c>
    </row>
    <row r="127" spans="13:16" x14ac:dyDescent="0.2">
      <c r="M127">
        <v>110</v>
      </c>
      <c r="N127">
        <v>1905</v>
      </c>
      <c r="O127" s="2">
        <v>4.0000000000000001E-3</v>
      </c>
      <c r="P127" s="2">
        <f>AVERAGE($O$17:O126)</f>
        <v>4.4091743119266058E-2</v>
      </c>
    </row>
    <row r="128" spans="13:16" x14ac:dyDescent="0.2">
      <c r="M128">
        <v>111</v>
      </c>
      <c r="N128">
        <v>1904</v>
      </c>
      <c r="O128" s="2">
        <v>-2E-3</v>
      </c>
      <c r="P128" s="2">
        <f>AVERAGE($O$17:O127)</f>
        <v>4.3727272727272726E-2</v>
      </c>
    </row>
    <row r="129" spans="13:16" x14ac:dyDescent="0.2">
      <c r="M129">
        <v>112</v>
      </c>
      <c r="N129">
        <v>1903</v>
      </c>
      <c r="O129" s="2">
        <v>4.0000000000000001E-3</v>
      </c>
      <c r="P129" s="2">
        <f>AVERAGE($O$17:O128)</f>
        <v>4.3315315315315316E-2</v>
      </c>
    </row>
    <row r="130" spans="13:16" x14ac:dyDescent="0.2">
      <c r="M130">
        <v>113</v>
      </c>
      <c r="N130">
        <v>1902</v>
      </c>
      <c r="O130" s="2">
        <v>0</v>
      </c>
      <c r="P130" s="2">
        <f>AVERAGE($O$17:O129)</f>
        <v>4.2964285714285712E-2</v>
      </c>
    </row>
    <row r="131" spans="13:16" x14ac:dyDescent="0.2">
      <c r="M131">
        <v>114</v>
      </c>
      <c r="N131">
        <v>1901</v>
      </c>
      <c r="O131" s="2">
        <v>5.0000000000000001E-3</v>
      </c>
      <c r="P131" s="2">
        <f>AVERAGE($O$17:O130)</f>
        <v>4.258407079646017E-2</v>
      </c>
    </row>
    <row r="132" spans="13:16" x14ac:dyDescent="0.2">
      <c r="M132">
        <v>115</v>
      </c>
      <c r="N132">
        <v>1900</v>
      </c>
      <c r="O132" s="2">
        <v>5.0999999999999997E-2</v>
      </c>
      <c r="P132" s="2">
        <f>AVERAGE($O$17:O131)</f>
        <v>4.2254385964912274E-2</v>
      </c>
    </row>
    <row r="133" spans="13:16" x14ac:dyDescent="0.2">
      <c r="M133">
        <v>116</v>
      </c>
      <c r="N133">
        <v>1899</v>
      </c>
      <c r="O133" s="2">
        <v>7.0000000000000001E-3</v>
      </c>
      <c r="P133" s="2">
        <f>AVERAGE($O$17:O132)</f>
        <v>4.2330434782608693E-2</v>
      </c>
    </row>
    <row r="134" spans="13:16" x14ac:dyDescent="0.2">
      <c r="M134">
        <v>117</v>
      </c>
      <c r="N134">
        <v>1898</v>
      </c>
      <c r="O134" s="2">
        <v>3.0000000000000001E-3</v>
      </c>
      <c r="P134" s="2">
        <f>AVERAGE($O$17:O133)</f>
        <v>4.2025862068965511E-2</v>
      </c>
    </row>
    <row r="135" spans="13:16" x14ac:dyDescent="0.2">
      <c r="M135">
        <v>118</v>
      </c>
      <c r="N135">
        <v>1897</v>
      </c>
      <c r="O135" s="2">
        <v>1.4999999999999999E-2</v>
      </c>
      <c r="P135" s="2">
        <f>AVERAGE($O$17:O134)</f>
        <v>4.1692307692307688E-2</v>
      </c>
    </row>
    <row r="136" spans="13:16" x14ac:dyDescent="0.2">
      <c r="M136">
        <v>119</v>
      </c>
      <c r="N136">
        <v>1896</v>
      </c>
      <c r="O136" s="2">
        <v>-3.0000000000000001E-3</v>
      </c>
      <c r="P136" s="2">
        <f>AVERAGE($O$17:O135)</f>
        <v>4.1466101694915242E-2</v>
      </c>
    </row>
    <row r="137" spans="13:16" x14ac:dyDescent="0.2">
      <c r="M137">
        <v>120</v>
      </c>
      <c r="N137">
        <v>1895</v>
      </c>
      <c r="O137" s="2">
        <v>-0.01</v>
      </c>
      <c r="P137" s="2">
        <f>AVERAGE($O$17:O136)</f>
        <v>4.1092436974789905E-2</v>
      </c>
    </row>
    <row r="138" spans="13:16" x14ac:dyDescent="0.2">
      <c r="M138">
        <v>121</v>
      </c>
      <c r="N138">
        <v>1894</v>
      </c>
      <c r="O138" s="2">
        <v>-0.02</v>
      </c>
      <c r="P138" s="2">
        <f>AVERAGE($O$17:O137)</f>
        <v>4.0666666666666657E-2</v>
      </c>
    </row>
    <row r="139" spans="13:16" x14ac:dyDescent="0.2">
      <c r="M139">
        <v>122</v>
      </c>
      <c r="N139">
        <v>1893</v>
      </c>
      <c r="O139" s="2">
        <v>-7.0000000000000001E-3</v>
      </c>
      <c r="P139" s="2">
        <f>AVERAGE($O$17:O138)</f>
        <v>4.016528925619834E-2</v>
      </c>
    </row>
    <row r="140" spans="13:16" x14ac:dyDescent="0.2">
      <c r="M140">
        <v>123</v>
      </c>
      <c r="N140">
        <v>1892</v>
      </c>
      <c r="O140" s="2">
        <v>4.0000000000000001E-3</v>
      </c>
      <c r="P140" s="2">
        <f>AVERAGE($O$17:O139)</f>
        <v>3.9778688524590163E-2</v>
      </c>
    </row>
    <row r="141" spans="13:16" x14ac:dyDescent="0.2">
      <c r="M141">
        <v>124</v>
      </c>
      <c r="N141">
        <v>1891</v>
      </c>
      <c r="O141" s="2">
        <v>7.0000000000000001E-3</v>
      </c>
      <c r="P141" s="2">
        <f>AVERAGE($O$17:O140)</f>
        <v>3.9487804878048774E-2</v>
      </c>
    </row>
    <row r="142" spans="13:16" x14ac:dyDescent="0.2">
      <c r="M142">
        <v>125</v>
      </c>
      <c r="N142">
        <v>1890</v>
      </c>
      <c r="O142" s="2">
        <v>2E-3</v>
      </c>
      <c r="P142" s="2">
        <f>AVERAGE($O$17:O141)</f>
        <v>3.9225806451612895E-2</v>
      </c>
    </row>
    <row r="143" spans="13:16" x14ac:dyDescent="0.2">
      <c r="M143">
        <v>126</v>
      </c>
      <c r="N143">
        <v>1889</v>
      </c>
      <c r="O143" s="2">
        <v>1.4E-2</v>
      </c>
      <c r="P143" s="2">
        <f>AVERAGE($O$17:O142)</f>
        <v>3.892799999999999E-2</v>
      </c>
    </row>
    <row r="144" spans="13:16" x14ac:dyDescent="0.2">
      <c r="M144">
        <v>127</v>
      </c>
      <c r="N144">
        <v>1888</v>
      </c>
      <c r="O144" s="2">
        <v>7.0000000000000001E-3</v>
      </c>
      <c r="P144" s="2">
        <f>AVERAGE($O$17:O143)</f>
        <v>3.8730158730158719E-2</v>
      </c>
    </row>
    <row r="145" spans="13:16" x14ac:dyDescent="0.2">
      <c r="M145">
        <v>128</v>
      </c>
      <c r="N145">
        <v>1887</v>
      </c>
      <c r="O145" s="2">
        <v>-5.0000000000000001E-3</v>
      </c>
      <c r="P145" s="2">
        <f>AVERAGE($O$17:O144)</f>
        <v>3.8480314960629911E-2</v>
      </c>
    </row>
    <row r="146" spans="13:16" x14ac:dyDescent="0.2">
      <c r="M146">
        <v>129</v>
      </c>
      <c r="N146">
        <v>1886</v>
      </c>
      <c r="O146" s="2">
        <v>-1.6E-2</v>
      </c>
      <c r="P146" s="2">
        <f>AVERAGE($O$17:O145)</f>
        <v>3.8140624999999991E-2</v>
      </c>
    </row>
    <row r="147" spans="13:16" x14ac:dyDescent="0.2">
      <c r="M147">
        <v>130</v>
      </c>
      <c r="N147">
        <v>1885</v>
      </c>
      <c r="O147" s="2">
        <v>-0.03</v>
      </c>
      <c r="P147" s="2">
        <f>AVERAGE($O$17:O146)</f>
        <v>3.7720930232558132E-2</v>
      </c>
    </row>
    <row r="148" spans="13:16" x14ac:dyDescent="0.2">
      <c r="M148">
        <v>131</v>
      </c>
      <c r="N148">
        <v>1884</v>
      </c>
      <c r="O148" s="2">
        <v>-2.7E-2</v>
      </c>
      <c r="P148" s="2">
        <f>AVERAGE($O$17:O147)</f>
        <v>3.719999999999999E-2</v>
      </c>
    </row>
    <row r="149" spans="13:16" x14ac:dyDescent="0.2">
      <c r="M149">
        <v>132</v>
      </c>
      <c r="N149">
        <v>1883</v>
      </c>
      <c r="O149" s="2">
        <v>-5.0000000000000001E-3</v>
      </c>
      <c r="P149" s="2">
        <f>AVERAGE($O$17:O148)</f>
        <v>3.6709923664122124E-2</v>
      </c>
    </row>
    <row r="150" spans="13:16" x14ac:dyDescent="0.2">
      <c r="M150">
        <v>133</v>
      </c>
      <c r="N150">
        <v>1882</v>
      </c>
      <c r="O150" s="2">
        <v>0.01</v>
      </c>
      <c r="P150" s="2">
        <f>AVERAGE($O$17:O149)</f>
        <v>3.6393939393939381E-2</v>
      </c>
    </row>
    <row r="151" spans="13:16" x14ac:dyDescent="0.2">
      <c r="M151">
        <v>134</v>
      </c>
      <c r="N151">
        <v>1881</v>
      </c>
      <c r="O151" s="2">
        <v>-1.0999999999999999E-2</v>
      </c>
      <c r="P151" s="2">
        <f>AVERAGE($O$17:O150)</f>
        <v>3.6195488721804496E-2</v>
      </c>
    </row>
    <row r="152" spans="13:16" x14ac:dyDescent="0.2">
      <c r="M152">
        <v>135</v>
      </c>
      <c r="N152">
        <v>1880</v>
      </c>
      <c r="O152" s="2">
        <v>0.03</v>
      </c>
      <c r="P152" s="2">
        <f>AVERAGE($O$17:O151)</f>
        <v>3.584328358208954E-2</v>
      </c>
    </row>
    <row r="153" spans="13:16" x14ac:dyDescent="0.2">
      <c r="M153">
        <v>136</v>
      </c>
      <c r="N153">
        <v>1879</v>
      </c>
      <c r="O153" s="2">
        <v>-4.3999999999999997E-2</v>
      </c>
      <c r="P153" s="2">
        <f>AVERAGE($O$17:O152)</f>
        <v>3.5799999999999992E-2</v>
      </c>
    </row>
    <row r="154" spans="13:16" x14ac:dyDescent="0.2">
      <c r="M154">
        <v>137</v>
      </c>
      <c r="N154">
        <v>1878</v>
      </c>
      <c r="O154" s="2">
        <v>-2.1999999999999999E-2</v>
      </c>
      <c r="P154" s="2">
        <f>AVERAGE($O$17:O153)</f>
        <v>3.5213235294117635E-2</v>
      </c>
    </row>
    <row r="155" spans="13:16" x14ac:dyDescent="0.2">
      <c r="M155">
        <v>138</v>
      </c>
      <c r="N155">
        <v>1877</v>
      </c>
      <c r="O155" s="2">
        <v>-7.0000000000000001E-3</v>
      </c>
      <c r="P155" s="2">
        <f>AVERAGE($O$17:O154)</f>
        <v>3.4795620437956191E-2</v>
      </c>
    </row>
    <row r="156" spans="13:16" x14ac:dyDescent="0.2">
      <c r="M156">
        <v>139</v>
      </c>
      <c r="N156">
        <v>1876</v>
      </c>
      <c r="O156" s="2">
        <v>-3.0000000000000001E-3</v>
      </c>
      <c r="P156" s="2">
        <f>AVERAGE($O$17:O155)</f>
        <v>3.4492753623188398E-2</v>
      </c>
    </row>
    <row r="157" spans="13:16" x14ac:dyDescent="0.2">
      <c r="M157">
        <v>140</v>
      </c>
      <c r="N157">
        <v>1875</v>
      </c>
      <c r="O157" s="2">
        <v>-1.9E-2</v>
      </c>
      <c r="P157" s="2">
        <f>AVERAGE($O$17:O156)</f>
        <v>3.4223021582733805E-2</v>
      </c>
    </row>
    <row r="158" spans="13:16" x14ac:dyDescent="0.2">
      <c r="M158">
        <v>141</v>
      </c>
      <c r="N158">
        <v>1874</v>
      </c>
      <c r="O158" s="2">
        <v>-3.3000000000000002E-2</v>
      </c>
      <c r="P158" s="2">
        <f>AVERAGE($O$17:O157)</f>
        <v>3.3842857142857133E-2</v>
      </c>
    </row>
    <row r="159" spans="13:16" x14ac:dyDescent="0.2">
      <c r="M159">
        <v>142</v>
      </c>
      <c r="N159">
        <v>1873</v>
      </c>
      <c r="O159" s="2">
        <v>3.1E-2</v>
      </c>
      <c r="P159" s="2">
        <f>AVERAGE($O$17:O158)</f>
        <v>3.3368794326241125E-2</v>
      </c>
    </row>
    <row r="160" spans="13:16" x14ac:dyDescent="0.2">
      <c r="M160">
        <v>143</v>
      </c>
      <c r="N160">
        <v>1872</v>
      </c>
      <c r="O160" s="2">
        <v>4.7E-2</v>
      </c>
      <c r="P160" s="2">
        <f>AVERAGE($O$17:O159)</f>
        <v>3.3352112676056325E-2</v>
      </c>
    </row>
    <row r="161" spans="13:16" x14ac:dyDescent="0.2">
      <c r="M161">
        <v>144</v>
      </c>
      <c r="N161">
        <v>1871</v>
      </c>
      <c r="O161" s="2">
        <v>1.4E-2</v>
      </c>
      <c r="P161" s="2">
        <f>AVERAGE($O$17:O160)</f>
        <v>3.3447552447552431E-2</v>
      </c>
    </row>
    <row r="162" spans="13:16" x14ac:dyDescent="0.2">
      <c r="M162">
        <v>145</v>
      </c>
      <c r="N162">
        <v>1870</v>
      </c>
      <c r="O162" s="2">
        <v>0</v>
      </c>
      <c r="P162" s="2">
        <f>AVERAGE($O$17:O161)</f>
        <v>3.3312499999999988E-2</v>
      </c>
    </row>
    <row r="163" spans="13:16" x14ac:dyDescent="0.2">
      <c r="M163">
        <v>146</v>
      </c>
      <c r="N163">
        <v>1869</v>
      </c>
      <c r="O163" s="2">
        <v>-0.05</v>
      </c>
      <c r="P163" s="2">
        <f>AVERAGE($O$17:O162)</f>
        <v>3.3082758620689642E-2</v>
      </c>
    </row>
    <row r="164" spans="13:16" x14ac:dyDescent="0.2">
      <c r="M164">
        <v>147</v>
      </c>
      <c r="N164">
        <v>1868</v>
      </c>
      <c r="O164" s="2">
        <v>-1.7000000000000001E-2</v>
      </c>
      <c r="P164" s="2">
        <f>AVERAGE($O$17:O163)</f>
        <v>3.2513698630136971E-2</v>
      </c>
    </row>
    <row r="165" spans="13:16" x14ac:dyDescent="0.2">
      <c r="M165">
        <v>148</v>
      </c>
      <c r="N165">
        <v>1867</v>
      </c>
      <c r="O165" s="2">
        <v>6.0999999999999999E-2</v>
      </c>
      <c r="P165" s="2">
        <f>AVERAGE($O$17:O164)</f>
        <v>3.2176870748299308E-2</v>
      </c>
    </row>
    <row r="166" spans="13:16" x14ac:dyDescent="0.2">
      <c r="M166">
        <v>149</v>
      </c>
      <c r="N166">
        <v>1866</v>
      </c>
      <c r="O166" s="2">
        <v>6.5000000000000002E-2</v>
      </c>
      <c r="P166" s="2">
        <f>AVERAGE($O$17:O165)</f>
        <v>3.2371621621621605E-2</v>
      </c>
    </row>
    <row r="167" spans="13:16" x14ac:dyDescent="0.2">
      <c r="M167">
        <v>150</v>
      </c>
      <c r="N167">
        <v>1865</v>
      </c>
      <c r="O167" s="2">
        <v>8.9999999999999993E-3</v>
      </c>
      <c r="P167" s="2">
        <f>AVERAGE($O$17:O166)</f>
        <v>3.2590604026845625E-2</v>
      </c>
    </row>
    <row r="168" spans="13:16" x14ac:dyDescent="0.2">
      <c r="M168">
        <v>151</v>
      </c>
      <c r="N168">
        <v>1864</v>
      </c>
      <c r="O168" s="2">
        <v>-8.9999999999999993E-3</v>
      </c>
      <c r="P168" s="2">
        <f>AVERAGE($O$17:O167)</f>
        <v>3.2433333333333321E-2</v>
      </c>
    </row>
    <row r="169" spans="13:16" x14ac:dyDescent="0.2">
      <c r="M169">
        <v>152</v>
      </c>
      <c r="N169">
        <v>1863</v>
      </c>
      <c r="O169" s="2">
        <v>-3.5999999999999997E-2</v>
      </c>
      <c r="P169" s="2">
        <f>AVERAGE($O$17:O168)</f>
        <v>3.2158940397350982E-2</v>
      </c>
    </row>
    <row r="170" spans="13:16" x14ac:dyDescent="0.2">
      <c r="M170">
        <v>153</v>
      </c>
      <c r="N170">
        <v>1862</v>
      </c>
      <c r="O170" s="2">
        <v>-2.5999999999999999E-2</v>
      </c>
      <c r="P170" s="2">
        <f>AVERAGE($O$17:O169)</f>
        <v>3.1710526315789467E-2</v>
      </c>
    </row>
    <row r="171" spans="13:16" x14ac:dyDescent="0.2">
      <c r="M171">
        <v>154</v>
      </c>
      <c r="N171">
        <v>1861</v>
      </c>
      <c r="O171" s="2">
        <v>2.7E-2</v>
      </c>
      <c r="P171" s="2">
        <f>AVERAGE($O$17:O170)</f>
        <v>3.1333333333333324E-2</v>
      </c>
    </row>
    <row r="172" spans="13:16" x14ac:dyDescent="0.2">
      <c r="M172">
        <v>155</v>
      </c>
      <c r="N172">
        <v>1860</v>
      </c>
      <c r="O172" s="2">
        <v>3.6999999999999998E-2</v>
      </c>
      <c r="P172" s="2">
        <f>AVERAGE($O$17:O171)</f>
        <v>3.1305194805194794E-2</v>
      </c>
    </row>
    <row r="173" spans="13:16" x14ac:dyDescent="0.2">
      <c r="M173">
        <v>156</v>
      </c>
      <c r="N173">
        <v>1859</v>
      </c>
      <c r="O173" s="2">
        <v>-1.7999999999999999E-2</v>
      </c>
      <c r="P173" s="2">
        <f>AVERAGE($O$17:O172)</f>
        <v>3.1341935483870959E-2</v>
      </c>
    </row>
    <row r="174" spans="13:16" x14ac:dyDescent="0.2">
      <c r="M174">
        <v>157</v>
      </c>
      <c r="N174">
        <v>1858</v>
      </c>
      <c r="O174" s="2">
        <v>-8.4000000000000005E-2</v>
      </c>
      <c r="P174" s="2">
        <f>AVERAGE($O$17:O173)</f>
        <v>3.102564102564102E-2</v>
      </c>
    </row>
    <row r="175" spans="13:16" x14ac:dyDescent="0.2">
      <c r="M175">
        <v>158</v>
      </c>
      <c r="N175">
        <v>1857</v>
      </c>
      <c r="O175" s="2">
        <v>-5.6000000000000001E-2</v>
      </c>
      <c r="P175" s="2">
        <f>AVERAGE($O$17:O174)</f>
        <v>3.0292993630573244E-2</v>
      </c>
    </row>
    <row r="176" spans="13:16" x14ac:dyDescent="0.2">
      <c r="M176">
        <v>159</v>
      </c>
      <c r="N176">
        <v>1856</v>
      </c>
      <c r="O176" s="2">
        <v>0</v>
      </c>
      <c r="P176" s="2">
        <f>AVERAGE($O$17:O175)</f>
        <v>2.974683544303797E-2</v>
      </c>
    </row>
    <row r="177" spans="13:16" x14ac:dyDescent="0.2">
      <c r="M177">
        <v>160</v>
      </c>
      <c r="N177">
        <v>1855</v>
      </c>
      <c r="O177" s="2">
        <v>3.3000000000000002E-2</v>
      </c>
      <c r="P177" s="2">
        <f>AVERAGE($O$17:O176)</f>
        <v>2.9559748427672953E-2</v>
      </c>
    </row>
    <row r="178" spans="13:16" x14ac:dyDescent="0.2">
      <c r="M178">
        <v>161</v>
      </c>
      <c r="N178">
        <v>1854</v>
      </c>
      <c r="O178" s="2">
        <v>0.151</v>
      </c>
      <c r="P178" s="2">
        <f>AVERAGE($O$17:O177)</f>
        <v>2.9581249999999996E-2</v>
      </c>
    </row>
    <row r="179" spans="13:16" x14ac:dyDescent="0.2">
      <c r="M179">
        <v>162</v>
      </c>
      <c r="N179">
        <v>1853</v>
      </c>
      <c r="O179" s="2">
        <v>9.2999999999999999E-2</v>
      </c>
      <c r="P179" s="2">
        <f>AVERAGE($O$17:O178)</f>
        <v>3.0335403726708073E-2</v>
      </c>
    </row>
    <row r="180" spans="13:16" x14ac:dyDescent="0.2">
      <c r="M180">
        <v>163</v>
      </c>
      <c r="N180">
        <v>1852</v>
      </c>
      <c r="O180" s="2">
        <v>0</v>
      </c>
      <c r="P180" s="2">
        <f>AVERAGE($O$17:O179)</f>
        <v>3.072222222222222E-2</v>
      </c>
    </row>
    <row r="181" spans="13:16" x14ac:dyDescent="0.2">
      <c r="M181">
        <v>164</v>
      </c>
      <c r="N181">
        <v>1851</v>
      </c>
      <c r="O181" s="2">
        <v>-0.03</v>
      </c>
      <c r="P181" s="2">
        <f>AVERAGE($O$17:O180)</f>
        <v>3.053374233128834E-2</v>
      </c>
    </row>
    <row r="182" spans="13:16" x14ac:dyDescent="0.2">
      <c r="M182">
        <v>165</v>
      </c>
      <c r="N182">
        <v>1850</v>
      </c>
      <c r="O182" s="2">
        <v>-6.4000000000000001E-2</v>
      </c>
      <c r="P182" s="2">
        <f>AVERAGE($O$17:O181)</f>
        <v>3.0164634146341459E-2</v>
      </c>
    </row>
    <row r="183" spans="13:16" x14ac:dyDescent="0.2">
      <c r="M183">
        <v>166</v>
      </c>
      <c r="N183">
        <v>1849</v>
      </c>
      <c r="O183" s="2">
        <v>-6.3E-2</v>
      </c>
      <c r="P183" s="2">
        <f>AVERAGE($O$17:O182)</f>
        <v>2.9593939393939388E-2</v>
      </c>
    </row>
    <row r="184" spans="13:16" x14ac:dyDescent="0.2">
      <c r="M184">
        <v>167</v>
      </c>
      <c r="N184">
        <v>1848</v>
      </c>
      <c r="O184" s="2">
        <v>-0.121</v>
      </c>
      <c r="P184" s="2">
        <f>AVERAGE($O$17:O183)</f>
        <v>2.9036144578313248E-2</v>
      </c>
    </row>
    <row r="185" spans="13:16" x14ac:dyDescent="0.2">
      <c r="M185">
        <v>168</v>
      </c>
      <c r="N185">
        <v>1847</v>
      </c>
      <c r="O185" s="2">
        <v>0.12</v>
      </c>
      <c r="P185" s="2">
        <f>AVERAGE($O$17:O184)</f>
        <v>2.8137724550898201E-2</v>
      </c>
    </row>
    <row r="186" spans="13:16" x14ac:dyDescent="0.2">
      <c r="M186">
        <v>169</v>
      </c>
      <c r="N186">
        <v>1846</v>
      </c>
      <c r="O186" s="2">
        <v>0.04</v>
      </c>
      <c r="P186" s="2">
        <f>AVERAGE($O$17:O185)</f>
        <v>2.8684523809523809E-2</v>
      </c>
    </row>
    <row r="187" spans="13:16" x14ac:dyDescent="0.2">
      <c r="M187">
        <v>170</v>
      </c>
      <c r="N187">
        <v>1845</v>
      </c>
      <c r="O187" s="2">
        <v>4.9000000000000002E-2</v>
      </c>
      <c r="P187" s="2">
        <f>AVERAGE($O$17:O186)</f>
        <v>2.8751479289940828E-2</v>
      </c>
    </row>
    <row r="188" spans="13:16" x14ac:dyDescent="0.2">
      <c r="M188">
        <v>171</v>
      </c>
      <c r="N188">
        <v>1844</v>
      </c>
      <c r="O188" s="2">
        <v>-1E-3</v>
      </c>
      <c r="P188" s="2">
        <f>AVERAGE($O$17:O187)</f>
        <v>2.887058823529412E-2</v>
      </c>
    </row>
    <row r="189" spans="13:16" x14ac:dyDescent="0.2">
      <c r="M189">
        <v>172</v>
      </c>
      <c r="N189">
        <v>1843</v>
      </c>
      <c r="O189" s="2">
        <v>-0.113</v>
      </c>
      <c r="P189" s="2">
        <f>AVERAGE($O$17:O188)</f>
        <v>2.8695906432748539E-2</v>
      </c>
    </row>
    <row r="190" spans="13:16" x14ac:dyDescent="0.2">
      <c r="M190">
        <v>173</v>
      </c>
      <c r="N190">
        <v>1842</v>
      </c>
      <c r="O190" s="2">
        <v>-7.5999999999999998E-2</v>
      </c>
      <c r="P190" s="2">
        <f>AVERAGE($O$17:O189)</f>
        <v>2.7872093023255811E-2</v>
      </c>
    </row>
    <row r="191" spans="13:16" x14ac:dyDescent="0.2">
      <c r="M191">
        <v>174</v>
      </c>
      <c r="N191">
        <v>1841</v>
      </c>
      <c r="O191" s="2">
        <v>-2.3E-2</v>
      </c>
      <c r="P191" s="2">
        <f>AVERAGE($O$17:O190)</f>
        <v>2.7271676300578033E-2</v>
      </c>
    </row>
    <row r="192" spans="13:16" x14ac:dyDescent="0.2">
      <c r="M192">
        <v>175</v>
      </c>
      <c r="N192">
        <v>1840</v>
      </c>
      <c r="O192" s="2">
        <v>1.7999999999999999E-2</v>
      </c>
      <c r="P192" s="2">
        <f>AVERAGE($O$17:O191)</f>
        <v>2.6982758620689658E-2</v>
      </c>
    </row>
    <row r="193" spans="13:16" x14ac:dyDescent="0.2">
      <c r="M193">
        <v>176</v>
      </c>
      <c r="N193">
        <v>1839</v>
      </c>
      <c r="O193" s="2">
        <v>7.2999999999999995E-2</v>
      </c>
      <c r="P193" s="2">
        <f>AVERAGE($O$17:O192)</f>
        <v>2.6931428571428571E-2</v>
      </c>
    </row>
    <row r="194" spans="13:16" x14ac:dyDescent="0.2">
      <c r="M194">
        <v>177</v>
      </c>
      <c r="N194">
        <v>1838</v>
      </c>
      <c r="O194" s="2">
        <v>7.0000000000000001E-3</v>
      </c>
      <c r="P194" s="2">
        <f>AVERAGE($O$17:O193)</f>
        <v>2.7193181818181821E-2</v>
      </c>
    </row>
    <row r="195" spans="13:16" x14ac:dyDescent="0.2">
      <c r="M195">
        <v>178</v>
      </c>
      <c r="N195">
        <v>1837</v>
      </c>
      <c r="O195" s="2">
        <v>2.5000000000000001E-2</v>
      </c>
      <c r="P195" s="2">
        <f>AVERAGE($O$17:O194)</f>
        <v>2.7079096045197742E-2</v>
      </c>
    </row>
    <row r="196" spans="13:16" x14ac:dyDescent="0.2">
      <c r="M196">
        <v>179</v>
      </c>
      <c r="N196">
        <v>1836</v>
      </c>
      <c r="O196" s="2">
        <v>0.11</v>
      </c>
      <c r="P196" s="2">
        <f>AVERAGE($O$17:O195)</f>
        <v>2.706741573033708E-2</v>
      </c>
    </row>
    <row r="197" spans="13:16" x14ac:dyDescent="0.2">
      <c r="M197">
        <v>180</v>
      </c>
      <c r="N197">
        <v>1835</v>
      </c>
      <c r="O197" s="2">
        <v>1.7000000000000001E-2</v>
      </c>
      <c r="P197" s="2">
        <f>AVERAGE($O$17:O196)</f>
        <v>2.7530726256983246E-2</v>
      </c>
    </row>
    <row r="198" spans="13:16" x14ac:dyDescent="0.2">
      <c r="M198">
        <v>181</v>
      </c>
      <c r="N198">
        <v>1834</v>
      </c>
      <c r="O198" s="2">
        <v>-7.8E-2</v>
      </c>
      <c r="P198" s="2">
        <f>AVERAGE($O$17:O197)</f>
        <v>2.7472222222222228E-2</v>
      </c>
    </row>
    <row r="199" spans="13:16" x14ac:dyDescent="0.2">
      <c r="M199">
        <v>182</v>
      </c>
      <c r="N199">
        <v>1833</v>
      </c>
      <c r="O199" s="2">
        <v>-6.0999999999999999E-2</v>
      </c>
      <c r="P199" s="2">
        <f>AVERAGE($O$17:O198)</f>
        <v>2.6889502762430944E-2</v>
      </c>
    </row>
    <row r="200" spans="13:16" x14ac:dyDescent="0.2">
      <c r="M200">
        <v>183</v>
      </c>
      <c r="N200">
        <v>1832</v>
      </c>
      <c r="O200" s="2">
        <v>-7.3999999999999996E-2</v>
      </c>
      <c r="P200" s="2">
        <f>AVERAGE($O$17:O199)</f>
        <v>2.6406593406593411E-2</v>
      </c>
    </row>
    <row r="201" spans="13:16" x14ac:dyDescent="0.2">
      <c r="M201">
        <v>184</v>
      </c>
      <c r="N201">
        <v>1831</v>
      </c>
      <c r="O201" s="2">
        <v>9.9000000000000005E-2</v>
      </c>
      <c r="P201" s="2">
        <f>AVERAGE($O$17:O200)</f>
        <v>2.5857923497267767E-2</v>
      </c>
    </row>
    <row r="202" spans="13:16" x14ac:dyDescent="0.2">
      <c r="M202">
        <v>185</v>
      </c>
      <c r="N202">
        <v>1830</v>
      </c>
      <c r="O202" s="2">
        <v>-3.5999999999999997E-2</v>
      </c>
      <c r="P202" s="2">
        <f>AVERAGE($O$17:O201)</f>
        <v>2.6255434782608701E-2</v>
      </c>
    </row>
    <row r="203" spans="13:16" x14ac:dyDescent="0.2">
      <c r="M203">
        <v>186</v>
      </c>
      <c r="N203">
        <v>1829</v>
      </c>
      <c r="O203" s="2">
        <v>-0.01</v>
      </c>
      <c r="P203" s="2">
        <f>AVERAGE($O$17:O202)</f>
        <v>2.591891891891893E-2</v>
      </c>
    </row>
    <row r="204" spans="13:16" x14ac:dyDescent="0.2">
      <c r="M204">
        <v>187</v>
      </c>
      <c r="N204">
        <v>1828</v>
      </c>
      <c r="O204" s="2">
        <v>-2.9000000000000001E-2</v>
      </c>
      <c r="P204" s="2">
        <f>AVERAGE($O$17:O203)</f>
        <v>2.5725806451612914E-2</v>
      </c>
    </row>
    <row r="205" spans="13:16" x14ac:dyDescent="0.2">
      <c r="M205">
        <v>188</v>
      </c>
      <c r="N205">
        <v>1827</v>
      </c>
      <c r="O205" s="2">
        <v>-6.5000000000000002E-2</v>
      </c>
      <c r="P205" s="2">
        <f>AVERAGE($O$17:O204)</f>
        <v>2.5433155080213914E-2</v>
      </c>
    </row>
    <row r="206" spans="13:16" x14ac:dyDescent="0.2">
      <c r="M206">
        <v>189</v>
      </c>
      <c r="N206">
        <v>1826</v>
      </c>
      <c r="O206" s="2">
        <v>-5.5E-2</v>
      </c>
      <c r="P206" s="2">
        <f>AVERAGE($O$17:O205)</f>
        <v>2.4952127659574476E-2</v>
      </c>
    </row>
    <row r="207" spans="13:16" x14ac:dyDescent="0.2">
      <c r="M207">
        <v>190</v>
      </c>
      <c r="N207">
        <v>1825</v>
      </c>
      <c r="O207" s="2">
        <v>0.17399999999999999</v>
      </c>
      <c r="P207" s="2">
        <f>AVERAGE($O$17:O206)</f>
        <v>2.4529100529100539E-2</v>
      </c>
    </row>
    <row r="208" spans="13:16" x14ac:dyDescent="0.2">
      <c r="M208">
        <v>191</v>
      </c>
      <c r="N208">
        <v>1824</v>
      </c>
      <c r="O208" s="2">
        <v>8.5999999999999993E-2</v>
      </c>
      <c r="P208" s="2">
        <f>AVERAGE($O$17:O207)</f>
        <v>2.5315789473684222E-2</v>
      </c>
    </row>
    <row r="209" spans="13:16" x14ac:dyDescent="0.2">
      <c r="M209">
        <v>192</v>
      </c>
      <c r="N209">
        <v>1823</v>
      </c>
      <c r="O209" s="2">
        <v>6.8000000000000005E-2</v>
      </c>
      <c r="P209" s="2">
        <f>AVERAGE($O$17:O208)</f>
        <v>2.5633507853403154E-2</v>
      </c>
    </row>
    <row r="210" spans="13:16" x14ac:dyDescent="0.2">
      <c r="M210">
        <v>193</v>
      </c>
      <c r="N210">
        <v>1822</v>
      </c>
      <c r="O210" s="2">
        <v>-0.13500000000000001</v>
      </c>
      <c r="P210" s="2">
        <f>AVERAGE($O$17:O209)</f>
        <v>2.5854166666666678E-2</v>
      </c>
    </row>
    <row r="211" spans="13:16" x14ac:dyDescent="0.2">
      <c r="M211">
        <v>194</v>
      </c>
      <c r="N211">
        <v>1821</v>
      </c>
      <c r="O211" s="2">
        <v>-0.12</v>
      </c>
      <c r="P211" s="2">
        <f>AVERAGE($O$17:O210)</f>
        <v>2.5020725388601048E-2</v>
      </c>
    </row>
    <row r="212" spans="13:16" x14ac:dyDescent="0.2">
      <c r="M212">
        <v>195</v>
      </c>
      <c r="N212">
        <v>1820</v>
      </c>
      <c r="O212" s="2">
        <v>-9.2999999999999999E-2</v>
      </c>
      <c r="P212" s="2">
        <f>AVERAGE($O$17:O211)</f>
        <v>2.4273195876288671E-2</v>
      </c>
    </row>
    <row r="213" spans="13:16" x14ac:dyDescent="0.2">
      <c r="M213">
        <v>196</v>
      </c>
      <c r="N213">
        <v>1819</v>
      </c>
      <c r="O213" s="2">
        <v>-2.5000000000000001E-2</v>
      </c>
      <c r="P213" s="2">
        <f>AVERAGE($O$17:O212)</f>
        <v>2.3671794871794882E-2</v>
      </c>
    </row>
    <row r="214" spans="13:16" x14ac:dyDescent="0.2">
      <c r="M214">
        <v>197</v>
      </c>
      <c r="N214">
        <v>1818</v>
      </c>
      <c r="O214" s="2">
        <v>3.0000000000000001E-3</v>
      </c>
      <c r="P214" s="2">
        <f>AVERAGE($O$17:O213)</f>
        <v>2.3423469387755112E-2</v>
      </c>
    </row>
    <row r="215" spans="13:16" x14ac:dyDescent="0.2">
      <c r="M215">
        <v>198</v>
      </c>
      <c r="N215">
        <v>1817</v>
      </c>
      <c r="O215" s="2">
        <v>0.13500000000000001</v>
      </c>
      <c r="P215" s="2">
        <f>AVERAGE($O$17:O214)</f>
        <v>2.3319796954314732E-2</v>
      </c>
    </row>
    <row r="216" spans="13:16" x14ac:dyDescent="0.2">
      <c r="M216">
        <v>199</v>
      </c>
      <c r="N216">
        <v>1816</v>
      </c>
      <c r="O216" s="2">
        <v>-8.4000000000000005E-2</v>
      </c>
      <c r="P216" s="2">
        <f>AVERAGE($O$17:O215)</f>
        <v>2.3883838383838393E-2</v>
      </c>
    </row>
    <row r="217" spans="13:16" x14ac:dyDescent="0.2">
      <c r="M217">
        <v>200</v>
      </c>
      <c r="N217">
        <v>1815</v>
      </c>
      <c r="O217" s="2">
        <v>-0.107</v>
      </c>
      <c r="P217" s="2">
        <f>AVERAGE($O$17:O216)</f>
        <v>2.3341708542713578E-2</v>
      </c>
    </row>
    <row r="218" spans="13:16" x14ac:dyDescent="0.2">
      <c r="M218">
        <v>201</v>
      </c>
      <c r="N218">
        <v>1814</v>
      </c>
      <c r="O218" s="2">
        <v>-0.127</v>
      </c>
      <c r="P218" s="2">
        <f>AVERAGE($O$17:O217)</f>
        <v>2.2690000000000009E-2</v>
      </c>
    </row>
    <row r="219" spans="13:16" x14ac:dyDescent="0.2">
      <c r="M219">
        <v>202</v>
      </c>
      <c r="N219">
        <v>1813</v>
      </c>
      <c r="O219" s="2">
        <v>2.5000000000000001E-2</v>
      </c>
      <c r="P219" s="2">
        <f>AVERAGE($O$17:O218)</f>
        <v>2.1945273631840807E-2</v>
      </c>
    </row>
    <row r="220" spans="13:16" x14ac:dyDescent="0.2">
      <c r="M220">
        <v>203</v>
      </c>
      <c r="N220">
        <v>1812</v>
      </c>
      <c r="O220" s="2">
        <v>0.13200000000000001</v>
      </c>
      <c r="P220" s="2">
        <f>AVERAGE($O$17:O219)</f>
        <v>2.1960396039603973E-2</v>
      </c>
    </row>
    <row r="221" spans="13:16" x14ac:dyDescent="0.2">
      <c r="M221">
        <v>204</v>
      </c>
      <c r="N221">
        <v>1811</v>
      </c>
      <c r="O221" s="2">
        <v>-2.9000000000000001E-2</v>
      </c>
      <c r="P221" s="2">
        <f>AVERAGE($O$17:O220)</f>
        <v>2.2502463054187204E-2</v>
      </c>
    </row>
    <row r="222" spans="13:16" x14ac:dyDescent="0.2">
      <c r="M222">
        <v>205</v>
      </c>
      <c r="N222">
        <v>1810</v>
      </c>
      <c r="O222" s="2">
        <v>3.2000000000000001E-2</v>
      </c>
      <c r="P222" s="2">
        <f>AVERAGE($O$17:O221)</f>
        <v>2.2250000000000013E-2</v>
      </c>
    </row>
    <row r="223" spans="13:16" x14ac:dyDescent="0.2">
      <c r="M223">
        <v>206</v>
      </c>
      <c r="N223">
        <v>1809</v>
      </c>
      <c r="O223" s="2">
        <v>9.7000000000000003E-2</v>
      </c>
      <c r="P223" s="2">
        <f>AVERAGE($O$17:O222)</f>
        <v>2.2297560975609768E-2</v>
      </c>
    </row>
    <row r="224" spans="13:16" x14ac:dyDescent="0.2">
      <c r="M224">
        <v>207</v>
      </c>
      <c r="N224">
        <v>1808</v>
      </c>
      <c r="O224" s="2">
        <v>3.4000000000000002E-2</v>
      </c>
      <c r="P224" s="2">
        <f>AVERAGE($O$17:O223)</f>
        <v>2.2660194174757294E-2</v>
      </c>
    </row>
    <row r="225" spans="13:16" x14ac:dyDescent="0.2">
      <c r="M225">
        <v>208</v>
      </c>
      <c r="N225">
        <v>1807</v>
      </c>
      <c r="O225" s="2">
        <v>-1.9E-2</v>
      </c>
      <c r="P225" s="2">
        <f>AVERAGE($O$17:O224)</f>
        <v>2.2714975845410639E-2</v>
      </c>
    </row>
    <row r="226" spans="13:16" x14ac:dyDescent="0.2">
      <c r="M226">
        <v>209</v>
      </c>
      <c r="N226">
        <v>1806</v>
      </c>
      <c r="O226" s="2">
        <v>-4.3999999999999997E-2</v>
      </c>
      <c r="P226" s="2">
        <f>AVERAGE($O$17:O225)</f>
        <v>2.2514423076923088E-2</v>
      </c>
    </row>
    <row r="227" spans="13:16" x14ac:dyDescent="0.2">
      <c r="M227">
        <v>210</v>
      </c>
      <c r="N227">
        <v>1805</v>
      </c>
      <c r="O227" s="2">
        <v>0.16200000000000001</v>
      </c>
      <c r="P227" s="2">
        <f>AVERAGE($O$17:O226)</f>
        <v>2.2196172248803842E-2</v>
      </c>
    </row>
    <row r="228" spans="13:16" x14ac:dyDescent="0.2">
      <c r="M228">
        <v>211</v>
      </c>
      <c r="N228">
        <v>1804</v>
      </c>
      <c r="O228" s="2">
        <v>3.2000000000000001E-2</v>
      </c>
      <c r="P228" s="2">
        <f>AVERAGE($O$17:O227)</f>
        <v>2.2861904761904774E-2</v>
      </c>
    </row>
    <row r="229" spans="13:16" x14ac:dyDescent="0.2">
      <c r="M229">
        <v>212</v>
      </c>
      <c r="N229">
        <v>1803</v>
      </c>
      <c r="O229" s="2">
        <v>-5.8999999999999997E-2</v>
      </c>
      <c r="P229" s="2">
        <f>AVERAGE($O$17:O228)</f>
        <v>2.2905213270142194E-2</v>
      </c>
    </row>
    <row r="230" spans="13:16" x14ac:dyDescent="0.2">
      <c r="M230">
        <v>213</v>
      </c>
      <c r="N230">
        <v>1802</v>
      </c>
      <c r="O230" s="2">
        <v>-0.23</v>
      </c>
      <c r="P230" s="2">
        <f>AVERAGE($O$17:O229)</f>
        <v>2.2518867924528313E-2</v>
      </c>
    </row>
    <row r="231" spans="13:16" x14ac:dyDescent="0.2">
      <c r="M231">
        <v>214</v>
      </c>
      <c r="N231">
        <v>1801</v>
      </c>
      <c r="O231" s="2">
        <v>0.11700000000000001</v>
      </c>
      <c r="P231" s="2">
        <f>AVERAGE($O$17:O230)</f>
        <v>2.1333333333333343E-2</v>
      </c>
    </row>
    <row r="232" spans="13:16" x14ac:dyDescent="0.2">
      <c r="M232">
        <v>215</v>
      </c>
      <c r="N232">
        <v>1800</v>
      </c>
      <c r="O232" s="2">
        <v>0.36499999999999999</v>
      </c>
      <c r="P232" s="2">
        <f>AVERAGE($O$17:O231)</f>
        <v>2.1780373831775713E-2</v>
      </c>
    </row>
    <row r="233" spans="13:16" x14ac:dyDescent="0.2">
      <c r="M233">
        <v>216</v>
      </c>
      <c r="N233">
        <v>1799</v>
      </c>
      <c r="O233" s="2">
        <v>0.123</v>
      </c>
      <c r="P233" s="2">
        <f>AVERAGE($O$17:O232)</f>
        <v>2.3376744186046523E-2</v>
      </c>
    </row>
    <row r="234" spans="13:16" x14ac:dyDescent="0.2">
      <c r="M234">
        <v>217</v>
      </c>
      <c r="N234">
        <v>1798</v>
      </c>
      <c r="O234" s="2">
        <v>-2.1999999999999999E-2</v>
      </c>
      <c r="P234" s="2">
        <f>AVERAGE($O$17:O233)</f>
        <v>2.3837962962962974E-2</v>
      </c>
    </row>
    <row r="235" spans="13:16" x14ac:dyDescent="0.2">
      <c r="M235">
        <v>218</v>
      </c>
      <c r="N235">
        <v>1797</v>
      </c>
      <c r="O235" s="2">
        <v>-0.1</v>
      </c>
      <c r="P235" s="2">
        <f>AVERAGE($O$17:O234)</f>
        <v>2.3626728110599089E-2</v>
      </c>
    </row>
    <row r="236" spans="13:16" x14ac:dyDescent="0.2">
      <c r="M236">
        <v>219</v>
      </c>
      <c r="N236">
        <v>1796</v>
      </c>
      <c r="O236" s="2">
        <v>6.4000000000000001E-2</v>
      </c>
      <c r="P236" s="2">
        <f>AVERAGE($O$17:O235)</f>
        <v>2.3059633027522949E-2</v>
      </c>
    </row>
    <row r="237" spans="13:16" x14ac:dyDescent="0.2">
      <c r="M237">
        <v>220</v>
      </c>
      <c r="N237">
        <v>1795</v>
      </c>
      <c r="O237" s="2">
        <v>0.11600000000000001</v>
      </c>
      <c r="P237" s="2">
        <f>AVERAGE($O$17:O236)</f>
        <v>2.3246575342465766E-2</v>
      </c>
    </row>
    <row r="238" spans="13:16" x14ac:dyDescent="0.2">
      <c r="M238">
        <v>221</v>
      </c>
      <c r="N238">
        <v>1794</v>
      </c>
      <c r="O238" s="2">
        <v>7.6999999999999999E-2</v>
      </c>
      <c r="P238" s="2">
        <f>AVERAGE($O$17:O237)</f>
        <v>2.3668181818181831E-2</v>
      </c>
    </row>
    <row r="239" spans="13:16" x14ac:dyDescent="0.2">
      <c r="M239">
        <v>222</v>
      </c>
      <c r="N239">
        <v>1793</v>
      </c>
      <c r="O239" s="2">
        <v>2.8000000000000001E-2</v>
      </c>
      <c r="P239" s="2">
        <f>AVERAGE($O$17:O238)</f>
        <v>2.3909502262443452E-2</v>
      </c>
    </row>
    <row r="240" spans="13:16" x14ac:dyDescent="0.2">
      <c r="M240">
        <v>223</v>
      </c>
      <c r="N240">
        <v>1792</v>
      </c>
      <c r="O240" s="2">
        <v>1.4999999999999999E-2</v>
      </c>
      <c r="P240" s="2">
        <f>AVERAGE($O$17:O239)</f>
        <v>2.3927927927927937E-2</v>
      </c>
    </row>
    <row r="241" spans="13:16" x14ac:dyDescent="0.2">
      <c r="M241">
        <v>224</v>
      </c>
      <c r="N241">
        <v>1791</v>
      </c>
      <c r="O241" s="2">
        <v>-1E-3</v>
      </c>
      <c r="P241" s="2">
        <f>AVERAGE($O$17:O240)</f>
        <v>2.3887892376681621E-2</v>
      </c>
    </row>
    <row r="242" spans="13:16" x14ac:dyDescent="0.2">
      <c r="M242">
        <v>225</v>
      </c>
      <c r="N242">
        <v>1790</v>
      </c>
      <c r="O242" s="2">
        <v>1.7999999999999999E-2</v>
      </c>
      <c r="P242" s="2">
        <f>AVERAGE($O$17:O241)</f>
        <v>2.3776785714285719E-2</v>
      </c>
    </row>
    <row r="243" spans="13:16" x14ac:dyDescent="0.2">
      <c r="M243">
        <v>226</v>
      </c>
      <c r="N243">
        <v>1789</v>
      </c>
      <c r="O243" s="2">
        <v>-1.2999999999999999E-2</v>
      </c>
      <c r="P243" s="2">
        <f>AVERAGE($O$17:O242)</f>
        <v>2.3751111111111115E-2</v>
      </c>
    </row>
    <row r="244" spans="13:16" x14ac:dyDescent="0.2">
      <c r="M244">
        <v>227</v>
      </c>
      <c r="N244">
        <v>1788</v>
      </c>
      <c r="O244" s="2">
        <v>0.04</v>
      </c>
      <c r="P244" s="2">
        <f>AVERAGE($O$17:O243)</f>
        <v>2.3588495575221243E-2</v>
      </c>
    </row>
    <row r="245" spans="13:16" x14ac:dyDescent="0.2">
      <c r="M245">
        <v>228</v>
      </c>
      <c r="N245">
        <v>1787</v>
      </c>
      <c r="O245" s="2">
        <v>-6.0000000000000001E-3</v>
      </c>
      <c r="P245" s="2">
        <f>AVERAGE($O$17:O244)</f>
        <v>2.3660792951541856E-2</v>
      </c>
    </row>
    <row r="246" spans="13:16" x14ac:dyDescent="0.2">
      <c r="M246">
        <v>229</v>
      </c>
      <c r="N246">
        <v>1786</v>
      </c>
      <c r="O246" s="2">
        <v>0</v>
      </c>
      <c r="P246" s="2">
        <f>AVERAGE($O$17:O245)</f>
        <v>2.3530701754385971E-2</v>
      </c>
    </row>
    <row r="247" spans="13:16" x14ac:dyDescent="0.2">
      <c r="M247">
        <v>230</v>
      </c>
      <c r="N247">
        <v>1785</v>
      </c>
      <c r="O247" s="2">
        <v>-0.04</v>
      </c>
      <c r="P247" s="2">
        <f>AVERAGE($O$17:O246)</f>
        <v>2.3427947598253281E-2</v>
      </c>
    </row>
    <row r="248" spans="13:16" x14ac:dyDescent="0.2">
      <c r="M248">
        <v>231</v>
      </c>
      <c r="N248">
        <v>1784</v>
      </c>
      <c r="O248" s="2">
        <v>6.0000000000000001E-3</v>
      </c>
      <c r="P248" s="2">
        <f>AVERAGE($O$17:O247)</f>
        <v>2.3152173913043483E-2</v>
      </c>
    </row>
    <row r="249" spans="13:16" x14ac:dyDescent="0.2">
      <c r="M249">
        <v>232</v>
      </c>
      <c r="N249">
        <v>1783</v>
      </c>
      <c r="O249" s="2">
        <v>0.12</v>
      </c>
      <c r="P249" s="2">
        <f>AVERAGE($O$17:O248)</f>
        <v>2.3077922077922083E-2</v>
      </c>
    </row>
    <row r="250" spans="13:16" x14ac:dyDescent="0.2">
      <c r="M250">
        <v>233</v>
      </c>
      <c r="N250">
        <v>1782</v>
      </c>
      <c r="O250" s="2">
        <v>2.1000000000000001E-2</v>
      </c>
      <c r="P250" s="2">
        <f>AVERAGE($O$17:O249)</f>
        <v>2.349568965517242E-2</v>
      </c>
    </row>
    <row r="251" spans="13:16" x14ac:dyDescent="0.2">
      <c r="M251">
        <v>234</v>
      </c>
      <c r="N251">
        <v>1781</v>
      </c>
      <c r="O251" s="2">
        <v>4.1000000000000002E-2</v>
      </c>
      <c r="P251" s="2">
        <f>AVERAGE($O$17:O250)</f>
        <v>2.3484978540772538E-2</v>
      </c>
    </row>
    <row r="252" spans="13:16" x14ac:dyDescent="0.2">
      <c r="M252">
        <v>235</v>
      </c>
      <c r="N252">
        <v>1780</v>
      </c>
      <c r="O252" s="2">
        <v>-3.4000000000000002E-2</v>
      </c>
      <c r="P252" s="2">
        <f>AVERAGE($O$17:O251)</f>
        <v>2.3559829059829066E-2</v>
      </c>
    </row>
    <row r="253" spans="13:16" x14ac:dyDescent="0.2">
      <c r="M253">
        <v>236</v>
      </c>
      <c r="N253">
        <v>1779</v>
      </c>
      <c r="O253" s="2">
        <v>-8.5000000000000006E-2</v>
      </c>
      <c r="P253" s="2">
        <f>AVERAGE($O$17:O252)</f>
        <v>2.3314893617021284E-2</v>
      </c>
    </row>
    <row r="254" spans="13:16" x14ac:dyDescent="0.2">
      <c r="M254">
        <v>237</v>
      </c>
      <c r="N254">
        <v>1778</v>
      </c>
      <c r="O254" s="2">
        <v>0.04</v>
      </c>
      <c r="P254" s="2">
        <f>AVERAGE($O$17:O253)</f>
        <v>2.2855932203389839E-2</v>
      </c>
    </row>
    <row r="255" spans="13:16" x14ac:dyDescent="0.2">
      <c r="M255">
        <v>238</v>
      </c>
      <c r="N255">
        <v>1777</v>
      </c>
      <c r="O255" s="2">
        <v>-4.0000000000000001E-3</v>
      </c>
      <c r="P255" s="2">
        <f>AVERAGE($O$17:O254)</f>
        <v>2.29282700421941E-2</v>
      </c>
    </row>
    <row r="256" spans="13:16" x14ac:dyDescent="0.2">
      <c r="M256">
        <v>239</v>
      </c>
      <c r="N256">
        <v>1776</v>
      </c>
      <c r="O256" s="2">
        <v>-2.1999999999999999E-2</v>
      </c>
      <c r="P256" s="2">
        <f>AVERAGE($O$17:O255)</f>
        <v>2.2815126050420177E-2</v>
      </c>
    </row>
    <row r="257" spans="13:16" x14ac:dyDescent="0.2">
      <c r="M257">
        <v>240</v>
      </c>
      <c r="N257">
        <v>1775</v>
      </c>
      <c r="O257" s="2">
        <v>-5.6000000000000001E-2</v>
      </c>
      <c r="P257" s="2">
        <f>AVERAGE($O$17:O256)</f>
        <v>2.2627615062761515E-2</v>
      </c>
    </row>
    <row r="258" spans="13:16" x14ac:dyDescent="0.2">
      <c r="M258">
        <v>241</v>
      </c>
      <c r="N258">
        <v>1774</v>
      </c>
      <c r="O258" s="2">
        <v>8.9999999999999993E-3</v>
      </c>
      <c r="P258" s="2">
        <f>AVERAGE($O$17:O257)</f>
        <v>2.2300000000000007E-2</v>
      </c>
    </row>
    <row r="259" spans="13:16" x14ac:dyDescent="0.2">
      <c r="M259">
        <v>242</v>
      </c>
      <c r="N259">
        <v>1773</v>
      </c>
      <c r="O259" s="2">
        <v>-3.0000000000000001E-3</v>
      </c>
      <c r="P259" s="2">
        <f>AVERAGE($O$17:O258)</f>
        <v>2.224481327800831E-2</v>
      </c>
    </row>
    <row r="260" spans="13:16" x14ac:dyDescent="0.2">
      <c r="M260">
        <v>243</v>
      </c>
      <c r="N260">
        <v>1772</v>
      </c>
      <c r="O260" s="2">
        <v>0.107</v>
      </c>
      <c r="P260" s="2">
        <f>AVERAGE($O$17:O259)</f>
        <v>2.2140495867768603E-2</v>
      </c>
    </row>
    <row r="261" spans="13:16" x14ac:dyDescent="0.2">
      <c r="M261">
        <v>244</v>
      </c>
      <c r="N261">
        <v>1771</v>
      </c>
      <c r="O261" s="2">
        <v>8.5000000000000006E-2</v>
      </c>
      <c r="P261" s="2">
        <f>AVERAGE($O$17:O260)</f>
        <v>2.248971193415639E-2</v>
      </c>
    </row>
    <row r="262" spans="13:16" x14ac:dyDescent="0.2">
      <c r="M262">
        <v>245</v>
      </c>
      <c r="N262">
        <v>1770</v>
      </c>
      <c r="O262" s="2">
        <v>-4.0000000000000001E-3</v>
      </c>
      <c r="P262" s="2">
        <f>AVERAGE($O$17:O261)</f>
        <v>2.2745901639344271E-2</v>
      </c>
    </row>
    <row r="263" spans="13:16" x14ac:dyDescent="0.2">
      <c r="M263">
        <v>246</v>
      </c>
      <c r="N263">
        <v>1769</v>
      </c>
      <c r="O263" s="2">
        <v>-8.2000000000000003E-2</v>
      </c>
      <c r="P263" s="2">
        <f>AVERAGE($O$17:O262)</f>
        <v>2.2636734693877562E-2</v>
      </c>
    </row>
    <row r="264" spans="13:16" x14ac:dyDescent="0.2">
      <c r="M264">
        <v>247</v>
      </c>
      <c r="N264">
        <v>1768</v>
      </c>
      <c r="O264" s="2">
        <v>-1.0999999999999999E-2</v>
      </c>
      <c r="P264" s="2">
        <f>AVERAGE($O$17:O263)</f>
        <v>2.2211382113821152E-2</v>
      </c>
    </row>
    <row r="265" spans="13:16" x14ac:dyDescent="0.2">
      <c r="M265">
        <v>248</v>
      </c>
      <c r="N265">
        <v>1767</v>
      </c>
      <c r="O265" s="2">
        <v>5.8000000000000003E-2</v>
      </c>
      <c r="P265" s="2">
        <f>AVERAGE($O$17:O264)</f>
        <v>2.2076923076923088E-2</v>
      </c>
    </row>
    <row r="266" spans="13:16" x14ac:dyDescent="0.2">
      <c r="M266">
        <v>249</v>
      </c>
      <c r="N266">
        <v>1766</v>
      </c>
      <c r="O266" s="2">
        <v>1.2E-2</v>
      </c>
      <c r="P266" s="2">
        <f>AVERAGE($O$17:O265)</f>
        <v>2.2221774193548399E-2</v>
      </c>
    </row>
    <row r="267" spans="13:16" x14ac:dyDescent="0.2">
      <c r="M267">
        <v>250</v>
      </c>
      <c r="N267">
        <v>1765</v>
      </c>
      <c r="O267" s="2">
        <v>3.5000000000000003E-2</v>
      </c>
      <c r="P267" s="2">
        <f>AVERAGE($O$17:O266)</f>
        <v>2.2180722891566276E-2</v>
      </c>
    </row>
    <row r="268" spans="13:16" x14ac:dyDescent="0.2">
      <c r="M268">
        <v>251</v>
      </c>
      <c r="N268">
        <v>1764</v>
      </c>
      <c r="O268" s="2">
        <v>8.8999999999999996E-2</v>
      </c>
      <c r="P268" s="2">
        <f>AVERAGE($O$17:O267)</f>
        <v>2.2232000000000009E-2</v>
      </c>
    </row>
    <row r="269" spans="13:16" x14ac:dyDescent="0.2">
      <c r="M269">
        <v>252</v>
      </c>
      <c r="N269">
        <v>1763</v>
      </c>
      <c r="O269" s="2">
        <v>2.7E-2</v>
      </c>
      <c r="P269" s="2">
        <f>AVERAGE($O$17:O268)</f>
        <v>2.2498007968127502E-2</v>
      </c>
    </row>
    <row r="270" spans="13:16" x14ac:dyDescent="0.2">
      <c r="M270">
        <v>253</v>
      </c>
      <c r="N270">
        <v>1762</v>
      </c>
      <c r="O270" s="2">
        <v>3.9E-2</v>
      </c>
      <c r="P270" s="2">
        <f>AVERAGE($O$17:O269)</f>
        <v>2.2515873015873027E-2</v>
      </c>
    </row>
    <row r="271" spans="13:16" x14ac:dyDescent="0.2">
      <c r="M271">
        <v>254</v>
      </c>
      <c r="N271">
        <v>1761</v>
      </c>
      <c r="O271" s="2">
        <v>-4.4999999999999998E-2</v>
      </c>
      <c r="P271" s="2">
        <f>AVERAGE($O$17:O270)</f>
        <v>2.2581027667984199E-2</v>
      </c>
    </row>
    <row r="272" spans="13:16" x14ac:dyDescent="0.2">
      <c r="M272">
        <v>255</v>
      </c>
      <c r="N272">
        <v>1760</v>
      </c>
      <c r="O272" s="2">
        <v>-4.4999999999999998E-2</v>
      </c>
      <c r="P272" s="2">
        <f>AVERAGE($O$17:O271)</f>
        <v>2.231496062992127E-2</v>
      </c>
    </row>
    <row r="273" spans="13:16" x14ac:dyDescent="0.2">
      <c r="M273">
        <v>256</v>
      </c>
      <c r="N273">
        <v>1759</v>
      </c>
      <c r="O273" s="2">
        <v>-7.9000000000000001E-2</v>
      </c>
      <c r="P273" s="2">
        <f>AVERAGE($O$17:O272)</f>
        <v>2.2050980392156874E-2</v>
      </c>
    </row>
    <row r="274" spans="13:16" x14ac:dyDescent="0.2">
      <c r="M274">
        <v>257</v>
      </c>
      <c r="N274">
        <v>1758</v>
      </c>
      <c r="O274" s="2">
        <v>-3.0000000000000001E-3</v>
      </c>
      <c r="P274" s="2">
        <f>AVERAGE($O$17:O273)</f>
        <v>2.1656250000000012E-2</v>
      </c>
    </row>
    <row r="275" spans="13:16" x14ac:dyDescent="0.2">
      <c r="M275">
        <v>258</v>
      </c>
      <c r="N275">
        <v>1757</v>
      </c>
      <c r="O275" s="2">
        <v>0.218</v>
      </c>
      <c r="P275" s="2">
        <f>AVERAGE($O$17:O274)</f>
        <v>2.1560311284046705E-2</v>
      </c>
    </row>
    <row r="276" spans="13:16" x14ac:dyDescent="0.2">
      <c r="M276">
        <v>259</v>
      </c>
      <c r="N276">
        <v>1756</v>
      </c>
      <c r="O276" s="2">
        <v>4.2000000000000003E-2</v>
      </c>
      <c r="P276" s="2">
        <f>AVERAGE($O$17:O275)</f>
        <v>2.23217054263566E-2</v>
      </c>
    </row>
    <row r="277" spans="13:16" x14ac:dyDescent="0.2">
      <c r="M277">
        <v>260</v>
      </c>
      <c r="N277">
        <v>1755</v>
      </c>
      <c r="O277" s="2">
        <v>-0.06</v>
      </c>
      <c r="P277" s="2">
        <f>AVERAGE($O$17:O276)</f>
        <v>2.2397683397683409E-2</v>
      </c>
    </row>
    <row r="278" spans="13:16" x14ac:dyDescent="0.2">
      <c r="M278">
        <v>261</v>
      </c>
      <c r="N278">
        <v>1754</v>
      </c>
      <c r="O278" s="2">
        <v>5.0999999999999997E-2</v>
      </c>
      <c r="P278" s="2">
        <f>AVERAGE($O$17:O277)</f>
        <v>2.2080769230769244E-2</v>
      </c>
    </row>
    <row r="279" spans="13:16" x14ac:dyDescent="0.2">
      <c r="M279">
        <v>262</v>
      </c>
      <c r="N279">
        <v>1753</v>
      </c>
      <c r="O279" s="2">
        <v>-2.7E-2</v>
      </c>
      <c r="P279" s="2">
        <f>AVERAGE($O$17:O278)</f>
        <v>2.2191570881226065E-2</v>
      </c>
    </row>
    <row r="280" spans="13:16" x14ac:dyDescent="0.2">
      <c r="M280">
        <v>263</v>
      </c>
      <c r="N280">
        <v>1752</v>
      </c>
      <c r="O280" s="2">
        <v>4.7E-2</v>
      </c>
      <c r="P280" s="2">
        <f>AVERAGE($O$17:O279)</f>
        <v>2.2003816793893141E-2</v>
      </c>
    </row>
    <row r="281" spans="13:16" x14ac:dyDescent="0.2">
      <c r="M281">
        <v>264</v>
      </c>
      <c r="N281">
        <v>1751</v>
      </c>
      <c r="O281" s="2">
        <v>-2.7E-2</v>
      </c>
      <c r="P281" s="2">
        <f>AVERAGE($O$17:O280)</f>
        <v>2.2098859315589366E-2</v>
      </c>
    </row>
  </sheetData>
  <sheetProtection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C27"/>
  <sheetViews>
    <sheetView zoomScale="150" workbookViewId="0">
      <selection activeCell="B7" sqref="B7"/>
    </sheetView>
  </sheetViews>
  <sheetFormatPr defaultColWidth="11" defaultRowHeight="12.75" x14ac:dyDescent="0.2"/>
  <cols>
    <col min="1" max="1" width="34.375" customWidth="1"/>
    <col min="5" max="5" width="11.125" customWidth="1"/>
  </cols>
  <sheetData>
    <row r="2" spans="1:6" x14ac:dyDescent="0.2">
      <c r="A2" s="3" t="s">
        <v>19</v>
      </c>
      <c r="D2" s="3"/>
    </row>
    <row r="4" spans="1:6" x14ac:dyDescent="0.2">
      <c r="A4" t="s">
        <v>17</v>
      </c>
      <c r="B4" s="39">
        <v>100000</v>
      </c>
      <c r="E4" s="5"/>
    </row>
    <row r="5" spans="1:6" x14ac:dyDescent="0.2">
      <c r="A5" t="s">
        <v>12</v>
      </c>
      <c r="B5" s="40">
        <v>0.06</v>
      </c>
      <c r="E5" s="4"/>
    </row>
    <row r="6" spans="1:6" x14ac:dyDescent="0.2">
      <c r="A6" t="s">
        <v>23</v>
      </c>
      <c r="B6" s="41">
        <v>25</v>
      </c>
    </row>
    <row r="7" spans="1:6" x14ac:dyDescent="0.2">
      <c r="B7" s="41"/>
    </row>
    <row r="8" spans="1:6" x14ac:dyDescent="0.2">
      <c r="A8" t="s">
        <v>24</v>
      </c>
      <c r="B8" s="41">
        <v>5</v>
      </c>
      <c r="E8" s="6"/>
    </row>
    <row r="9" spans="1:6" x14ac:dyDescent="0.2">
      <c r="A9" t="s">
        <v>20</v>
      </c>
      <c r="B9" s="6">
        <f>$B$4*((1+$B$5)^$B$6-(1+$B$5)^B8)/((1+$B$5)^$B$6-1)</f>
        <v>89725.429508168672</v>
      </c>
    </row>
    <row r="10" spans="1:6" x14ac:dyDescent="0.2">
      <c r="A10" s="3"/>
    </row>
    <row r="12" spans="1:6" x14ac:dyDescent="0.2">
      <c r="A12" s="3" t="s">
        <v>16</v>
      </c>
      <c r="F12" s="5"/>
    </row>
    <row r="14" spans="1:6" x14ac:dyDescent="0.2">
      <c r="A14" t="s">
        <v>17</v>
      </c>
      <c r="B14" s="39">
        <f>B4</f>
        <v>100000</v>
      </c>
    </row>
    <row r="15" spans="1:6" x14ac:dyDescent="0.2">
      <c r="A15" t="s">
        <v>12</v>
      </c>
      <c r="B15" s="40">
        <f>B5</f>
        <v>0.06</v>
      </c>
    </row>
    <row r="16" spans="1:6" x14ac:dyDescent="0.2">
      <c r="A16" t="s">
        <v>21</v>
      </c>
      <c r="B16" s="41">
        <f>B6</f>
        <v>25</v>
      </c>
    </row>
    <row r="17" spans="1:29" x14ac:dyDescent="0.2">
      <c r="A17" t="s">
        <v>22</v>
      </c>
      <c r="B17" s="41">
        <f>B16*12</f>
        <v>300</v>
      </c>
    </row>
    <row r="18" spans="1:29" x14ac:dyDescent="0.2">
      <c r="A18" t="s">
        <v>18</v>
      </c>
      <c r="B18" s="6">
        <f>B14*(B15/12*(1+B15/12)^B17)/((1+B15/12)^B17-1)</f>
        <v>644.30140148551709</v>
      </c>
    </row>
    <row r="20" spans="1:29" x14ac:dyDescent="0.2">
      <c r="A20" t="s">
        <v>122</v>
      </c>
      <c r="F20" s="4"/>
    </row>
    <row r="21" spans="1:29" x14ac:dyDescent="0.2">
      <c r="B21" s="38">
        <v>0</v>
      </c>
      <c r="C21">
        <v>1</v>
      </c>
      <c r="D21">
        <v>2</v>
      </c>
      <c r="E21" s="38">
        <v>3</v>
      </c>
      <c r="F21">
        <v>4</v>
      </c>
      <c r="G21">
        <v>5</v>
      </c>
      <c r="H21" s="38">
        <v>6</v>
      </c>
      <c r="I21">
        <v>7</v>
      </c>
      <c r="J21">
        <v>8</v>
      </c>
      <c r="K21" s="38">
        <v>9</v>
      </c>
      <c r="L21">
        <v>10</v>
      </c>
      <c r="M21">
        <v>11</v>
      </c>
      <c r="N21" s="38">
        <v>12</v>
      </c>
      <c r="O21">
        <v>13</v>
      </c>
      <c r="P21">
        <v>14</v>
      </c>
      <c r="Q21" s="38">
        <v>15</v>
      </c>
      <c r="R21">
        <v>16</v>
      </c>
      <c r="S21">
        <v>17</v>
      </c>
      <c r="T21" s="38">
        <v>18</v>
      </c>
      <c r="U21">
        <v>19</v>
      </c>
      <c r="V21">
        <v>20</v>
      </c>
      <c r="W21" s="38">
        <v>21</v>
      </c>
      <c r="X21">
        <v>22</v>
      </c>
      <c r="Y21">
        <v>23</v>
      </c>
      <c r="Z21" s="38">
        <v>24</v>
      </c>
      <c r="AA21">
        <v>25</v>
      </c>
      <c r="AC21" s="38" t="s">
        <v>125</v>
      </c>
    </row>
    <row r="22" spans="1:29" x14ac:dyDescent="0.2">
      <c r="A22" t="s">
        <v>124</v>
      </c>
      <c r="C22" s="5">
        <f>IF(C21&lt;=$B$6,$B$18*12,0)</f>
        <v>7731.6168178262051</v>
      </c>
      <c r="D22" s="5">
        <f t="shared" ref="D22:AA22" si="0">IF(D21&lt;=$B$6,$B$18*12,0)</f>
        <v>7731.6168178262051</v>
      </c>
      <c r="E22" s="5">
        <f t="shared" si="0"/>
        <v>7731.6168178262051</v>
      </c>
      <c r="F22" s="5">
        <f t="shared" si="0"/>
        <v>7731.6168178262051</v>
      </c>
      <c r="G22" s="5">
        <f t="shared" si="0"/>
        <v>7731.6168178262051</v>
      </c>
      <c r="H22" s="5">
        <f t="shared" si="0"/>
        <v>7731.6168178262051</v>
      </c>
      <c r="I22" s="5">
        <f t="shared" si="0"/>
        <v>7731.6168178262051</v>
      </c>
      <c r="J22" s="5">
        <f t="shared" si="0"/>
        <v>7731.6168178262051</v>
      </c>
      <c r="K22" s="5">
        <f t="shared" si="0"/>
        <v>7731.6168178262051</v>
      </c>
      <c r="L22" s="5">
        <f t="shared" si="0"/>
        <v>7731.6168178262051</v>
      </c>
      <c r="M22" s="5">
        <f t="shared" si="0"/>
        <v>7731.6168178262051</v>
      </c>
      <c r="N22" s="5">
        <f t="shared" si="0"/>
        <v>7731.6168178262051</v>
      </c>
      <c r="O22" s="5">
        <f t="shared" si="0"/>
        <v>7731.6168178262051</v>
      </c>
      <c r="P22" s="5">
        <f t="shared" si="0"/>
        <v>7731.6168178262051</v>
      </c>
      <c r="Q22" s="5">
        <f t="shared" si="0"/>
        <v>7731.6168178262051</v>
      </c>
      <c r="R22" s="5">
        <f t="shared" si="0"/>
        <v>7731.6168178262051</v>
      </c>
      <c r="S22" s="5">
        <f t="shared" si="0"/>
        <v>7731.6168178262051</v>
      </c>
      <c r="T22" s="5">
        <f t="shared" si="0"/>
        <v>7731.6168178262051</v>
      </c>
      <c r="U22" s="5">
        <f t="shared" si="0"/>
        <v>7731.6168178262051</v>
      </c>
      <c r="V22" s="5">
        <f t="shared" si="0"/>
        <v>7731.6168178262051</v>
      </c>
      <c r="W22" s="5">
        <f t="shared" si="0"/>
        <v>7731.6168178262051</v>
      </c>
      <c r="X22" s="5">
        <f t="shared" si="0"/>
        <v>7731.6168178262051</v>
      </c>
      <c r="Y22" s="5">
        <f t="shared" si="0"/>
        <v>7731.6168178262051</v>
      </c>
      <c r="Z22" s="5">
        <f t="shared" si="0"/>
        <v>7731.6168178262051</v>
      </c>
      <c r="AA22" s="5">
        <f t="shared" si="0"/>
        <v>7731.6168178262051</v>
      </c>
      <c r="AC22" s="5">
        <f>SUM(C22:AB22)</f>
        <v>193290.42044565507</v>
      </c>
    </row>
    <row r="23" spans="1:29" x14ac:dyDescent="0.2">
      <c r="A23" t="s">
        <v>123</v>
      </c>
      <c r="B23" s="5">
        <f>B4</f>
        <v>100000</v>
      </c>
      <c r="C23" s="33">
        <f>IF(C21&lt;=$B$6,($B$23*(((1+$B$5)^$B$6)-(1+$B$5)^C21)/(((1+$B$5)^$B$6)-1)),0)</f>
        <v>98177.328178772601</v>
      </c>
      <c r="D23" s="33">
        <f t="shared" ref="D23:AA23" si="1">IF(D21&lt;=$B$6,($B$23*(((1+$B$5)^$B$6)-(1+$B$5)^D21)/(((1+$B$5)^$B$6)-1)),0)</f>
        <v>96245.296048271557</v>
      </c>
      <c r="E23" s="33">
        <f t="shared" si="1"/>
        <v>94197.341989940454</v>
      </c>
      <c r="F23" s="33">
        <f t="shared" si="1"/>
        <v>92026.510688109498</v>
      </c>
      <c r="G23" s="33">
        <f t="shared" si="1"/>
        <v>89725.429508168672</v>
      </c>
      <c r="H23" s="33">
        <f t="shared" si="1"/>
        <v>87286.283457431375</v>
      </c>
      <c r="I23" s="33">
        <f t="shared" si="1"/>
        <v>84700.788643649852</v>
      </c>
      <c r="J23" s="33">
        <f t="shared" si="1"/>
        <v>81960.16414104146</v>
      </c>
      <c r="K23" s="33">
        <f t="shared" si="1"/>
        <v>79055.102168276557</v>
      </c>
      <c r="L23" s="33">
        <f t="shared" si="1"/>
        <v>75975.736477145736</v>
      </c>
      <c r="M23" s="33">
        <f t="shared" si="1"/>
        <v>72711.608844547081</v>
      </c>
      <c r="N23" s="33">
        <f t="shared" si="1"/>
        <v>69251.63355399252</v>
      </c>
      <c r="O23" s="33">
        <f t="shared" si="1"/>
        <v>65584.059746004656</v>
      </c>
      <c r="P23" s="33">
        <f t="shared" si="1"/>
        <v>61696.431509537557</v>
      </c>
      <c r="Q23" s="33">
        <f t="shared" si="1"/>
        <v>57575.545578882389</v>
      </c>
      <c r="R23" s="33">
        <f t="shared" si="1"/>
        <v>53207.406492387956</v>
      </c>
      <c r="S23" s="33">
        <f t="shared" si="1"/>
        <v>48577.179060703827</v>
      </c>
      <c r="T23" s="33">
        <f t="shared" si="1"/>
        <v>43669.137983118664</v>
      </c>
      <c r="U23" s="33">
        <f t="shared" si="1"/>
        <v>38466.61444087838</v>
      </c>
      <c r="V23" s="33">
        <f t="shared" si="1"/>
        <v>32951.939486103685</v>
      </c>
      <c r="W23" s="33">
        <f t="shared" si="1"/>
        <v>27106.384034042494</v>
      </c>
      <c r="X23" s="33">
        <f t="shared" si="1"/>
        <v>20910.095254857646</v>
      </c>
      <c r="Y23" s="33">
        <f t="shared" si="1"/>
        <v>14342.029148921692</v>
      </c>
      <c r="Z23" s="33">
        <f t="shared" si="1"/>
        <v>7379.8790766296142</v>
      </c>
      <c r="AA23" s="33">
        <f t="shared" si="1"/>
        <v>0</v>
      </c>
      <c r="AC23" s="5"/>
    </row>
    <row r="24" spans="1:29" x14ac:dyDescent="0.2">
      <c r="A24" t="s">
        <v>126</v>
      </c>
      <c r="C24" s="5">
        <f>B23-C23</f>
        <v>1822.6718212273991</v>
      </c>
      <c r="D24" s="5">
        <f t="shared" ref="D24:AA24" si="2">C23-D23</f>
        <v>1932.0321305010439</v>
      </c>
      <c r="E24" s="5">
        <f t="shared" si="2"/>
        <v>2047.9540583311027</v>
      </c>
      <c r="F24" s="5">
        <f t="shared" si="2"/>
        <v>2170.8313018309564</v>
      </c>
      <c r="G24" s="5">
        <f t="shared" si="2"/>
        <v>2301.0811799408257</v>
      </c>
      <c r="H24" s="5">
        <f t="shared" si="2"/>
        <v>2439.1460507372976</v>
      </c>
      <c r="I24" s="5">
        <f t="shared" si="2"/>
        <v>2585.4948137815227</v>
      </c>
      <c r="J24" s="5">
        <f t="shared" si="2"/>
        <v>2740.6245026083925</v>
      </c>
      <c r="K24" s="5">
        <f t="shared" si="2"/>
        <v>2905.0619727649027</v>
      </c>
      <c r="L24" s="5">
        <f t="shared" si="2"/>
        <v>3079.3656911308208</v>
      </c>
      <c r="M24" s="5">
        <f t="shared" si="2"/>
        <v>3264.1276325986546</v>
      </c>
      <c r="N24" s="5">
        <f t="shared" si="2"/>
        <v>3459.9752905545611</v>
      </c>
      <c r="O24" s="5">
        <f t="shared" si="2"/>
        <v>3667.5738079878647</v>
      </c>
      <c r="P24" s="5">
        <f t="shared" si="2"/>
        <v>3887.6282364670988</v>
      </c>
      <c r="Q24" s="5">
        <f t="shared" si="2"/>
        <v>4120.8859306551676</v>
      </c>
      <c r="R24" s="5">
        <f t="shared" si="2"/>
        <v>4368.1390864944333</v>
      </c>
      <c r="S24" s="5">
        <f t="shared" si="2"/>
        <v>4630.2274316841285</v>
      </c>
      <c r="T24" s="5">
        <f t="shared" si="2"/>
        <v>4908.0410775851633</v>
      </c>
      <c r="U24" s="5">
        <f t="shared" si="2"/>
        <v>5202.5235422402839</v>
      </c>
      <c r="V24" s="5">
        <f t="shared" si="2"/>
        <v>5514.6749547746949</v>
      </c>
      <c r="W24" s="5">
        <f t="shared" si="2"/>
        <v>5845.5554520611913</v>
      </c>
      <c r="X24" s="5">
        <f t="shared" si="2"/>
        <v>6196.288779184848</v>
      </c>
      <c r="Y24" s="5">
        <f t="shared" si="2"/>
        <v>6568.0661059359536</v>
      </c>
      <c r="Z24" s="5">
        <f t="shared" si="2"/>
        <v>6962.1500722920782</v>
      </c>
      <c r="AA24" s="5">
        <f t="shared" si="2"/>
        <v>7379.8790766296142</v>
      </c>
      <c r="AC24" s="5">
        <f t="shared" ref="AC24:AC25" si="3">SUM(C24:AB24)</f>
        <v>100000</v>
      </c>
    </row>
    <row r="25" spans="1:29" x14ac:dyDescent="0.2">
      <c r="A25" t="s">
        <v>77</v>
      </c>
      <c r="C25" s="5">
        <f>C22-C24</f>
        <v>5908.944996598806</v>
      </c>
      <c r="D25" s="5">
        <f t="shared" ref="D25:J25" si="4">D22-D24</f>
        <v>5799.5846873251612</v>
      </c>
      <c r="E25" s="5">
        <f t="shared" si="4"/>
        <v>5683.6627594951024</v>
      </c>
      <c r="F25" s="5">
        <f t="shared" si="4"/>
        <v>5560.7855159952487</v>
      </c>
      <c r="G25" s="5">
        <f t="shared" si="4"/>
        <v>5430.5356378853794</v>
      </c>
      <c r="H25" s="5">
        <f t="shared" si="4"/>
        <v>5292.4707670889075</v>
      </c>
      <c r="I25" s="5">
        <f t="shared" si="4"/>
        <v>5146.1220040446824</v>
      </c>
      <c r="J25" s="5">
        <f t="shared" si="4"/>
        <v>4990.9923152178126</v>
      </c>
      <c r="K25" s="5">
        <f t="shared" ref="K25" si="5">K22-K24</f>
        <v>4826.5548450613023</v>
      </c>
      <c r="L25" s="5">
        <f t="shared" ref="L25" si="6">L22-L24</f>
        <v>4652.2511266953843</v>
      </c>
      <c r="M25" s="5">
        <f t="shared" ref="M25" si="7">M22-M24</f>
        <v>4467.4891852275505</v>
      </c>
      <c r="N25" s="5">
        <f t="shared" ref="N25" si="8">N22-N24</f>
        <v>4271.641527271644</v>
      </c>
      <c r="O25" s="5">
        <f t="shared" ref="O25" si="9">O22-O24</f>
        <v>4064.0430098383404</v>
      </c>
      <c r="P25" s="5">
        <f t="shared" ref="P25" si="10">P22-P24</f>
        <v>3843.9885813591063</v>
      </c>
      <c r="Q25" s="5">
        <f t="shared" ref="Q25" si="11">Q22-Q24</f>
        <v>3610.7308871710375</v>
      </c>
      <c r="R25" s="5">
        <f t="shared" ref="R25" si="12">R22-R24</f>
        <v>3363.4777313317718</v>
      </c>
      <c r="S25" s="5">
        <f t="shared" ref="S25" si="13">S22-S24</f>
        <v>3101.3893861420765</v>
      </c>
      <c r="T25" s="5">
        <f t="shared" ref="T25" si="14">T22-T24</f>
        <v>2823.5757402410418</v>
      </c>
      <c r="U25" s="5">
        <f t="shared" ref="U25" si="15">U22-U24</f>
        <v>2529.0932755859212</v>
      </c>
      <c r="V25" s="5">
        <f t="shared" ref="V25" si="16">V22-V24</f>
        <v>2216.9418630515102</v>
      </c>
      <c r="W25" s="5">
        <f t="shared" ref="W25" si="17">W22-W24</f>
        <v>1886.0613657650138</v>
      </c>
      <c r="X25" s="5">
        <f t="shared" ref="X25" si="18">X22-X24</f>
        <v>1535.3280386413571</v>
      </c>
      <c r="Y25" s="5">
        <f t="shared" ref="Y25" si="19">Y22-Y24</f>
        <v>1163.5507118902515</v>
      </c>
      <c r="Z25" s="5">
        <f t="shared" ref="Z25" si="20">Z22-Z24</f>
        <v>769.46674553412686</v>
      </c>
      <c r="AA25" s="5">
        <f t="shared" ref="AA25" si="21">AA22-AA24</f>
        <v>351.73774119659083</v>
      </c>
      <c r="AC25" s="5">
        <f t="shared" si="3"/>
        <v>93290.420445655109</v>
      </c>
    </row>
    <row r="27" spans="1:29" x14ac:dyDescent="0.2">
      <c r="A27" t="s">
        <v>99</v>
      </c>
      <c r="B27" s="5">
        <f>AC25</f>
        <v>93290.420445655109</v>
      </c>
    </row>
  </sheetData>
  <sheetProtection sheet="1" objects="1" scenarios="1" selectLockedCell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F25"/>
  <sheetViews>
    <sheetView zoomScale="150" workbookViewId="0">
      <selection activeCell="F7" sqref="F7"/>
    </sheetView>
  </sheetViews>
  <sheetFormatPr defaultColWidth="11" defaultRowHeight="12.75" x14ac:dyDescent="0.2"/>
  <cols>
    <col min="1" max="1" width="19.25" customWidth="1"/>
    <col min="5" max="5" width="33.375" customWidth="1"/>
  </cols>
  <sheetData>
    <row r="3" spans="1:6" x14ac:dyDescent="0.2">
      <c r="A3" s="3" t="s">
        <v>6</v>
      </c>
      <c r="E3" s="3" t="s">
        <v>11</v>
      </c>
    </row>
    <row r="5" spans="1:6" x14ac:dyDescent="0.2">
      <c r="A5" t="s">
        <v>5</v>
      </c>
      <c r="B5" s="49">
        <v>0.02</v>
      </c>
      <c r="E5" s="3" t="s">
        <v>13</v>
      </c>
      <c r="F5" s="39">
        <v>100</v>
      </c>
    </row>
    <row r="6" spans="1:6" x14ac:dyDescent="0.2">
      <c r="A6" t="s">
        <v>4</v>
      </c>
      <c r="B6" s="41">
        <v>12</v>
      </c>
      <c r="E6" s="3" t="s">
        <v>12</v>
      </c>
      <c r="F6" s="40">
        <v>0.02</v>
      </c>
    </row>
    <row r="7" spans="1:6" x14ac:dyDescent="0.2">
      <c r="A7" t="s">
        <v>7</v>
      </c>
      <c r="B7" s="51">
        <f>(1+B5/B6)^B6-1</f>
        <v>2.0184355681502009E-2</v>
      </c>
      <c r="E7" s="3" t="s">
        <v>15</v>
      </c>
      <c r="F7" s="41">
        <v>12</v>
      </c>
    </row>
    <row r="8" spans="1:6" x14ac:dyDescent="0.2">
      <c r="E8" t="s">
        <v>14</v>
      </c>
      <c r="F8" s="6">
        <f>F5*(1+F6)^F7</f>
        <v>126.82417945625453</v>
      </c>
    </row>
    <row r="10" spans="1:6" x14ac:dyDescent="0.2">
      <c r="A10" s="3" t="s">
        <v>8</v>
      </c>
      <c r="E10" s="3" t="s">
        <v>16</v>
      </c>
    </row>
    <row r="12" spans="1:6" x14ac:dyDescent="0.2">
      <c r="A12" t="s">
        <v>9</v>
      </c>
      <c r="B12" s="49">
        <v>0.02</v>
      </c>
      <c r="E12" t="s">
        <v>17</v>
      </c>
      <c r="F12" s="39">
        <v>100000</v>
      </c>
    </row>
    <row r="13" spans="1:6" x14ac:dyDescent="0.2">
      <c r="A13" t="s">
        <v>4</v>
      </c>
      <c r="B13" s="41">
        <v>12</v>
      </c>
      <c r="E13" t="s">
        <v>12</v>
      </c>
      <c r="F13" s="40">
        <v>0.06</v>
      </c>
    </row>
    <row r="14" spans="1:6" x14ac:dyDescent="0.2">
      <c r="A14" t="s">
        <v>10</v>
      </c>
      <c r="B14" s="51">
        <f>(1+B12)^B13-1</f>
        <v>0.26824179456254527</v>
      </c>
      <c r="E14" t="s">
        <v>21</v>
      </c>
      <c r="F14" s="41">
        <v>25</v>
      </c>
    </row>
    <row r="15" spans="1:6" x14ac:dyDescent="0.2">
      <c r="E15" t="s">
        <v>22</v>
      </c>
      <c r="F15" s="41">
        <f>F14*12</f>
        <v>300</v>
      </c>
    </row>
    <row r="16" spans="1:6" x14ac:dyDescent="0.2">
      <c r="E16" t="s">
        <v>18</v>
      </c>
      <c r="F16" s="6">
        <f>F12*(F13/12*(1+F13/12)^F15)/((1+F13/12)^F15-1)</f>
        <v>644.30140148551709</v>
      </c>
    </row>
    <row r="17" spans="1:6" x14ac:dyDescent="0.2">
      <c r="A17" s="3" t="s">
        <v>84</v>
      </c>
    </row>
    <row r="18" spans="1:6" x14ac:dyDescent="0.2">
      <c r="E18" s="3" t="s">
        <v>19</v>
      </c>
    </row>
    <row r="19" spans="1:6" x14ac:dyDescent="0.2">
      <c r="A19" s="2" t="s">
        <v>5</v>
      </c>
      <c r="B19" s="49">
        <v>0.02</v>
      </c>
    </row>
    <row r="20" spans="1:6" x14ac:dyDescent="0.2">
      <c r="A20" s="1" t="s">
        <v>86</v>
      </c>
      <c r="B20" s="49">
        <v>5.0000000000000001E-3</v>
      </c>
      <c r="E20" t="s">
        <v>17</v>
      </c>
      <c r="F20" s="39">
        <v>100000</v>
      </c>
    </row>
    <row r="21" spans="1:6" x14ac:dyDescent="0.2">
      <c r="B21" s="41"/>
      <c r="E21" t="s">
        <v>12</v>
      </c>
      <c r="F21" s="40">
        <v>0.06</v>
      </c>
    </row>
    <row r="22" spans="1:6" x14ac:dyDescent="0.2">
      <c r="A22" t="s">
        <v>85</v>
      </c>
      <c r="B22" s="51">
        <f>(1+B19)/(1+B20)-1</f>
        <v>1.4925373134328401E-2</v>
      </c>
      <c r="E22" t="s">
        <v>23</v>
      </c>
      <c r="F22" s="41">
        <v>25</v>
      </c>
    </row>
    <row r="23" spans="1:6" x14ac:dyDescent="0.2">
      <c r="A23" s="1" t="s">
        <v>87</v>
      </c>
      <c r="F23" s="41"/>
    </row>
    <row r="24" spans="1:6" x14ac:dyDescent="0.2">
      <c r="E24" t="s">
        <v>24</v>
      </c>
      <c r="F24" s="41">
        <v>5</v>
      </c>
    </row>
    <row r="25" spans="1:6" x14ac:dyDescent="0.2">
      <c r="E25" t="s">
        <v>20</v>
      </c>
      <c r="F25" s="6">
        <f>F20*((1+F21)^F22-(1+F21)^F24)/((1+F21)^F22-1)</f>
        <v>89725.429508168672</v>
      </c>
    </row>
  </sheetData>
  <sheetProtection sheet="1" objects="1" scenarios="1" selectLockedCells="1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14"/>
  <sheetViews>
    <sheetView zoomScale="150" zoomScaleNormal="150" zoomScalePageLayoutView="150" workbookViewId="0">
      <selection activeCell="C4" sqref="C4:C7"/>
    </sheetView>
  </sheetViews>
  <sheetFormatPr defaultColWidth="11" defaultRowHeight="12.75" x14ac:dyDescent="0.2"/>
  <cols>
    <col min="2" max="2" width="18.75" customWidth="1"/>
  </cols>
  <sheetData>
    <row r="2" spans="2:5" ht="15.75" x14ac:dyDescent="0.25">
      <c r="B2" s="18" t="s">
        <v>41</v>
      </c>
    </row>
    <row r="3" spans="2:5" x14ac:dyDescent="0.2">
      <c r="D3" s="22" t="s">
        <v>52</v>
      </c>
    </row>
    <row r="4" spans="2:5" x14ac:dyDescent="0.2">
      <c r="B4" t="s">
        <v>51</v>
      </c>
      <c r="C4" s="48">
        <v>500</v>
      </c>
      <c r="D4" s="19" t="s">
        <v>46</v>
      </c>
    </row>
    <row r="5" spans="2:5" x14ac:dyDescent="0.2">
      <c r="B5" t="s">
        <v>42</v>
      </c>
      <c r="C5" s="49">
        <v>8.0000000000000002E-3</v>
      </c>
      <c r="D5" s="19" t="s">
        <v>43</v>
      </c>
      <c r="E5" s="20">
        <f>((1+C5)^365)-1</f>
        <v>17.327119851894643</v>
      </c>
    </row>
    <row r="6" spans="2:5" x14ac:dyDescent="0.2">
      <c r="B6" t="s">
        <v>44</v>
      </c>
      <c r="C6" s="41">
        <v>30</v>
      </c>
    </row>
    <row r="7" spans="2:5" x14ac:dyDescent="0.2">
      <c r="B7" t="s">
        <v>47</v>
      </c>
      <c r="C7" s="48">
        <f>C4/100*24</f>
        <v>120</v>
      </c>
    </row>
    <row r="8" spans="2:5" x14ac:dyDescent="0.2">
      <c r="B8" t="s">
        <v>49</v>
      </c>
    </row>
    <row r="9" spans="2:5" x14ac:dyDescent="0.2">
      <c r="B9" t="s">
        <v>53</v>
      </c>
      <c r="C9" s="23">
        <f>C4*(1+C5)^C6+C7</f>
        <v>755.01790027034701</v>
      </c>
    </row>
    <row r="11" spans="2:5" x14ac:dyDescent="0.2">
      <c r="B11" t="s">
        <v>45</v>
      </c>
    </row>
    <row r="12" spans="2:5" x14ac:dyDescent="0.2">
      <c r="B12" t="s">
        <v>48</v>
      </c>
    </row>
    <row r="13" spans="2:5" x14ac:dyDescent="0.2">
      <c r="B13" t="s">
        <v>50</v>
      </c>
    </row>
    <row r="14" spans="2:5" x14ac:dyDescent="0.2">
      <c r="B14" t="s">
        <v>54</v>
      </c>
    </row>
  </sheetData>
  <sheetProtection sheet="1" objects="1" scenarios="1" select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U36"/>
  <sheetViews>
    <sheetView zoomScale="150" zoomScaleNormal="150" zoomScalePageLayoutView="150" workbookViewId="0">
      <selection activeCell="C4" sqref="C4"/>
    </sheetView>
  </sheetViews>
  <sheetFormatPr defaultColWidth="11" defaultRowHeight="12.75" x14ac:dyDescent="0.2"/>
  <cols>
    <col min="2" max="2" width="36.125" customWidth="1"/>
  </cols>
  <sheetData>
    <row r="2" spans="2:7" x14ac:dyDescent="0.2">
      <c r="B2" s="3" t="s">
        <v>55</v>
      </c>
    </row>
    <row r="3" spans="2:7" x14ac:dyDescent="0.2">
      <c r="D3" s="22" t="s">
        <v>52</v>
      </c>
    </row>
    <row r="4" spans="2:7" x14ac:dyDescent="0.2">
      <c r="B4" t="s">
        <v>56</v>
      </c>
      <c r="C4" s="45">
        <v>1000</v>
      </c>
      <c r="D4" t="s">
        <v>57</v>
      </c>
    </row>
    <row r="5" spans="2:7" x14ac:dyDescent="0.2">
      <c r="B5" t="s">
        <v>60</v>
      </c>
      <c r="C5" s="41">
        <v>55</v>
      </c>
      <c r="E5" s="24"/>
      <c r="G5" s="24"/>
    </row>
    <row r="6" spans="2:7" x14ac:dyDescent="0.2">
      <c r="B6" t="s">
        <v>71</v>
      </c>
      <c r="C6" s="46">
        <v>0.18323999999999999</v>
      </c>
      <c r="D6" s="19" t="s">
        <v>61</v>
      </c>
      <c r="E6" s="26">
        <f>NOMINAL(C6,12)/12</f>
        <v>1.4120130324744462E-2</v>
      </c>
      <c r="F6" s="19" t="s">
        <v>62</v>
      </c>
      <c r="G6" s="27">
        <f>NOMINAL(C6,365)/365</f>
        <v>4.6108280976597804E-4</v>
      </c>
    </row>
    <row r="7" spans="2:7" x14ac:dyDescent="0.2">
      <c r="B7" t="s">
        <v>72</v>
      </c>
      <c r="C7" s="47">
        <v>0.27900000000000003</v>
      </c>
      <c r="D7" s="19" t="s">
        <v>61</v>
      </c>
      <c r="E7" s="26">
        <f>NOMINAL(C7,12)/12</f>
        <v>2.071824734194827E-2</v>
      </c>
      <c r="F7" s="19" t="s">
        <v>62</v>
      </c>
      <c r="G7" s="27">
        <f>NOMINAL(C7,365)/365</f>
        <v>6.7441504877296943E-4</v>
      </c>
    </row>
    <row r="8" spans="2:7" x14ac:dyDescent="0.2">
      <c r="B8" t="s">
        <v>83</v>
      </c>
      <c r="C8" s="40">
        <v>0.01</v>
      </c>
    </row>
    <row r="9" spans="2:7" x14ac:dyDescent="0.2">
      <c r="B9" t="s">
        <v>63</v>
      </c>
      <c r="C9" s="41">
        <v>24</v>
      </c>
      <c r="E9" s="1"/>
    </row>
    <row r="10" spans="2:7" x14ac:dyDescent="0.2">
      <c r="B10" t="s">
        <v>65</v>
      </c>
      <c r="C10" s="40">
        <v>0.03</v>
      </c>
    </row>
    <row r="11" spans="2:7" x14ac:dyDescent="0.2">
      <c r="B11" t="s">
        <v>64</v>
      </c>
      <c r="C11" s="41">
        <v>12</v>
      </c>
    </row>
    <row r="13" spans="2:7" x14ac:dyDescent="0.2">
      <c r="B13" t="s">
        <v>66</v>
      </c>
      <c r="C13" s="23">
        <f>C4</f>
        <v>1000</v>
      </c>
      <c r="D13" t="s">
        <v>67</v>
      </c>
    </row>
    <row r="15" spans="2:7" x14ac:dyDescent="0.2">
      <c r="B15" t="s">
        <v>68</v>
      </c>
    </row>
    <row r="16" spans="2:7" x14ac:dyDescent="0.2">
      <c r="B16" t="s">
        <v>69</v>
      </c>
    </row>
    <row r="18" spans="2:333" x14ac:dyDescent="0.2">
      <c r="B18" t="s">
        <v>58</v>
      </c>
    </row>
    <row r="19" spans="2:333" x14ac:dyDescent="0.2">
      <c r="B19" t="s">
        <v>59</v>
      </c>
    </row>
    <row r="20" spans="2:333" x14ac:dyDescent="0.2">
      <c r="B20" t="s">
        <v>70</v>
      </c>
    </row>
    <row r="22" spans="2:333" x14ac:dyDescent="0.2">
      <c r="C22" t="s">
        <v>75</v>
      </c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  <c r="J22">
        <v>7</v>
      </c>
      <c r="K22">
        <v>8</v>
      </c>
      <c r="L22">
        <v>9</v>
      </c>
      <c r="M22">
        <v>10</v>
      </c>
      <c r="N22">
        <v>11</v>
      </c>
      <c r="O22">
        <v>12</v>
      </c>
      <c r="P22">
        <v>13</v>
      </c>
      <c r="Q22">
        <v>14</v>
      </c>
      <c r="R22">
        <v>15</v>
      </c>
      <c r="S22">
        <v>16</v>
      </c>
      <c r="T22">
        <v>17</v>
      </c>
      <c r="U22">
        <v>18</v>
      </c>
      <c r="V22">
        <v>19</v>
      </c>
      <c r="W22">
        <v>20</v>
      </c>
      <c r="X22">
        <v>21</v>
      </c>
      <c r="Y22">
        <v>22</v>
      </c>
      <c r="Z22">
        <v>23</v>
      </c>
      <c r="AA22">
        <v>24</v>
      </c>
      <c r="AB22">
        <v>25</v>
      </c>
      <c r="AC22">
        <v>26</v>
      </c>
      <c r="AD22">
        <v>27</v>
      </c>
      <c r="AE22">
        <v>28</v>
      </c>
      <c r="AF22">
        <v>29</v>
      </c>
      <c r="AG22">
        <v>30</v>
      </c>
      <c r="AH22">
        <v>31</v>
      </c>
      <c r="AI22">
        <v>32</v>
      </c>
      <c r="AJ22">
        <v>33</v>
      </c>
      <c r="AK22">
        <v>34</v>
      </c>
      <c r="AL22">
        <v>35</v>
      </c>
      <c r="AM22">
        <v>36</v>
      </c>
      <c r="AN22">
        <v>37</v>
      </c>
      <c r="AO22">
        <v>38</v>
      </c>
      <c r="AP22">
        <v>39</v>
      </c>
      <c r="AQ22">
        <v>40</v>
      </c>
      <c r="AR22">
        <v>41</v>
      </c>
      <c r="AS22">
        <v>42</v>
      </c>
      <c r="AT22">
        <v>43</v>
      </c>
      <c r="AU22">
        <v>44</v>
      </c>
      <c r="AV22">
        <v>45</v>
      </c>
      <c r="AW22">
        <v>46</v>
      </c>
      <c r="AX22">
        <v>47</v>
      </c>
      <c r="AY22">
        <v>48</v>
      </c>
      <c r="AZ22">
        <v>49</v>
      </c>
      <c r="BA22">
        <v>50</v>
      </c>
      <c r="BB22">
        <v>51</v>
      </c>
      <c r="BC22">
        <v>52</v>
      </c>
      <c r="BD22">
        <v>53</v>
      </c>
      <c r="BE22">
        <v>54</v>
      </c>
      <c r="BF22">
        <v>55</v>
      </c>
      <c r="BG22">
        <v>56</v>
      </c>
      <c r="BH22">
        <v>57</v>
      </c>
      <c r="BI22">
        <v>58</v>
      </c>
      <c r="BJ22">
        <v>59</v>
      </c>
      <c r="BK22">
        <v>60</v>
      </c>
      <c r="BL22">
        <v>61</v>
      </c>
      <c r="BM22">
        <v>62</v>
      </c>
      <c r="BN22">
        <v>63</v>
      </c>
      <c r="BO22">
        <v>64</v>
      </c>
      <c r="BP22">
        <v>65</v>
      </c>
      <c r="BQ22">
        <v>66</v>
      </c>
      <c r="BR22">
        <v>67</v>
      </c>
      <c r="BS22">
        <v>68</v>
      </c>
      <c r="BT22">
        <v>69</v>
      </c>
      <c r="BU22">
        <v>70</v>
      </c>
      <c r="BV22">
        <v>71</v>
      </c>
      <c r="BW22">
        <v>72</v>
      </c>
      <c r="BX22">
        <v>73</v>
      </c>
      <c r="BY22">
        <v>74</v>
      </c>
      <c r="BZ22">
        <v>75</v>
      </c>
      <c r="CA22">
        <v>76</v>
      </c>
      <c r="CB22">
        <v>77</v>
      </c>
      <c r="CC22">
        <v>78</v>
      </c>
      <c r="CD22">
        <v>79</v>
      </c>
      <c r="CE22">
        <v>80</v>
      </c>
      <c r="CF22">
        <v>81</v>
      </c>
      <c r="CG22">
        <v>82</v>
      </c>
      <c r="CH22">
        <v>83</v>
      </c>
      <c r="CI22">
        <v>84</v>
      </c>
      <c r="CJ22">
        <v>85</v>
      </c>
      <c r="CK22">
        <v>86</v>
      </c>
      <c r="CL22">
        <v>87</v>
      </c>
      <c r="CM22">
        <v>88</v>
      </c>
      <c r="CN22">
        <v>89</v>
      </c>
      <c r="CO22">
        <v>90</v>
      </c>
      <c r="CP22">
        <v>91</v>
      </c>
      <c r="CQ22">
        <v>92</v>
      </c>
      <c r="CR22">
        <v>93</v>
      </c>
      <c r="CS22">
        <v>94</v>
      </c>
      <c r="CT22">
        <v>95</v>
      </c>
      <c r="CU22">
        <v>96</v>
      </c>
      <c r="CV22">
        <v>97</v>
      </c>
      <c r="CW22">
        <v>98</v>
      </c>
      <c r="CX22">
        <v>99</v>
      </c>
      <c r="CY22">
        <v>100</v>
      </c>
      <c r="CZ22">
        <v>101</v>
      </c>
      <c r="DA22">
        <v>102</v>
      </c>
      <c r="DB22">
        <v>103</v>
      </c>
      <c r="DC22">
        <v>104</v>
      </c>
      <c r="DD22">
        <v>105</v>
      </c>
      <c r="DE22">
        <v>106</v>
      </c>
      <c r="DF22">
        <v>107</v>
      </c>
      <c r="DG22">
        <v>108</v>
      </c>
      <c r="DH22">
        <v>109</v>
      </c>
      <c r="DI22">
        <v>110</v>
      </c>
      <c r="DJ22">
        <v>111</v>
      </c>
      <c r="DK22">
        <v>112</v>
      </c>
      <c r="DL22">
        <v>113</v>
      </c>
      <c r="DM22">
        <v>114</v>
      </c>
      <c r="DN22">
        <v>115</v>
      </c>
      <c r="DO22">
        <v>116</v>
      </c>
      <c r="DP22">
        <v>117</v>
      </c>
      <c r="DQ22">
        <v>118</v>
      </c>
      <c r="DR22">
        <v>119</v>
      </c>
      <c r="DS22">
        <v>120</v>
      </c>
      <c r="DT22">
        <v>121</v>
      </c>
      <c r="DU22">
        <v>122</v>
      </c>
      <c r="DV22">
        <v>123</v>
      </c>
      <c r="DW22">
        <v>124</v>
      </c>
      <c r="DX22">
        <v>125</v>
      </c>
      <c r="DY22">
        <v>126</v>
      </c>
      <c r="DZ22">
        <v>127</v>
      </c>
      <c r="EA22">
        <v>128</v>
      </c>
      <c r="EB22">
        <v>129</v>
      </c>
      <c r="EC22">
        <v>130</v>
      </c>
      <c r="ED22">
        <v>131</v>
      </c>
      <c r="EE22">
        <v>132</v>
      </c>
      <c r="EF22">
        <v>133</v>
      </c>
      <c r="EG22">
        <v>134</v>
      </c>
      <c r="EH22">
        <v>135</v>
      </c>
      <c r="EI22">
        <v>136</v>
      </c>
      <c r="EJ22">
        <v>137</v>
      </c>
      <c r="EK22">
        <v>138</v>
      </c>
      <c r="EL22">
        <v>139</v>
      </c>
      <c r="EM22">
        <v>140</v>
      </c>
      <c r="EN22">
        <v>141</v>
      </c>
      <c r="EO22">
        <v>142</v>
      </c>
      <c r="EP22">
        <v>143</v>
      </c>
      <c r="EQ22">
        <v>144</v>
      </c>
      <c r="ER22">
        <v>145</v>
      </c>
      <c r="ES22">
        <v>146</v>
      </c>
      <c r="ET22">
        <v>147</v>
      </c>
      <c r="EU22">
        <v>148</v>
      </c>
      <c r="EV22">
        <v>149</v>
      </c>
      <c r="EW22">
        <v>150</v>
      </c>
      <c r="EX22">
        <v>151</v>
      </c>
      <c r="EY22">
        <v>152</v>
      </c>
      <c r="EZ22">
        <v>153</v>
      </c>
      <c r="FA22">
        <v>154</v>
      </c>
      <c r="FB22">
        <v>155</v>
      </c>
      <c r="FC22">
        <v>156</v>
      </c>
      <c r="FD22">
        <v>157</v>
      </c>
      <c r="FE22">
        <v>158</v>
      </c>
      <c r="FF22">
        <v>159</v>
      </c>
      <c r="FG22">
        <v>160</v>
      </c>
      <c r="FH22">
        <v>161</v>
      </c>
      <c r="FI22">
        <v>162</v>
      </c>
      <c r="FJ22">
        <v>163</v>
      </c>
      <c r="FK22">
        <v>164</v>
      </c>
      <c r="FL22">
        <v>165</v>
      </c>
      <c r="FM22">
        <v>166</v>
      </c>
      <c r="FN22">
        <v>167</v>
      </c>
      <c r="FO22">
        <v>168</v>
      </c>
      <c r="FP22">
        <v>169</v>
      </c>
      <c r="FQ22">
        <v>170</v>
      </c>
      <c r="FR22">
        <v>171</v>
      </c>
      <c r="FS22">
        <v>172</v>
      </c>
      <c r="FT22">
        <v>173</v>
      </c>
      <c r="FU22">
        <v>174</v>
      </c>
      <c r="FV22">
        <v>175</v>
      </c>
      <c r="FW22">
        <v>176</v>
      </c>
      <c r="FX22">
        <v>177</v>
      </c>
      <c r="FY22">
        <v>178</v>
      </c>
      <c r="FZ22">
        <v>179</v>
      </c>
      <c r="GA22">
        <v>180</v>
      </c>
      <c r="GB22">
        <v>181</v>
      </c>
      <c r="GC22">
        <v>182</v>
      </c>
      <c r="GD22">
        <v>183</v>
      </c>
      <c r="GE22">
        <v>184</v>
      </c>
      <c r="GF22">
        <v>185</v>
      </c>
      <c r="GG22">
        <v>186</v>
      </c>
      <c r="GH22">
        <v>187</v>
      </c>
      <c r="GI22">
        <v>188</v>
      </c>
      <c r="GJ22">
        <v>189</v>
      </c>
      <c r="GK22">
        <v>190</v>
      </c>
      <c r="GL22">
        <v>191</v>
      </c>
      <c r="GM22">
        <v>192</v>
      </c>
      <c r="GN22">
        <v>193</v>
      </c>
      <c r="GO22">
        <v>194</v>
      </c>
      <c r="GP22">
        <v>195</v>
      </c>
      <c r="GQ22">
        <v>196</v>
      </c>
      <c r="GR22">
        <v>197</v>
      </c>
      <c r="GS22">
        <v>198</v>
      </c>
      <c r="GT22">
        <v>199</v>
      </c>
      <c r="GU22">
        <v>200</v>
      </c>
      <c r="GV22">
        <v>201</v>
      </c>
      <c r="GW22">
        <v>202</v>
      </c>
      <c r="GX22">
        <v>203</v>
      </c>
      <c r="GY22">
        <v>204</v>
      </c>
      <c r="GZ22">
        <v>205</v>
      </c>
      <c r="HA22">
        <v>206</v>
      </c>
      <c r="HB22">
        <v>207</v>
      </c>
      <c r="HC22">
        <v>208</v>
      </c>
      <c r="HD22">
        <v>209</v>
      </c>
      <c r="HE22">
        <v>210</v>
      </c>
      <c r="HF22">
        <v>211</v>
      </c>
      <c r="HG22">
        <v>212</v>
      </c>
      <c r="HH22">
        <v>213</v>
      </c>
      <c r="HI22">
        <v>214</v>
      </c>
      <c r="HJ22">
        <v>215</v>
      </c>
      <c r="HK22">
        <v>216</v>
      </c>
      <c r="HL22">
        <v>217</v>
      </c>
      <c r="HM22">
        <v>218</v>
      </c>
      <c r="HN22">
        <v>219</v>
      </c>
      <c r="HO22">
        <v>220</v>
      </c>
      <c r="HP22">
        <v>221</v>
      </c>
      <c r="HQ22">
        <v>222</v>
      </c>
      <c r="HR22">
        <v>223</v>
      </c>
      <c r="HS22">
        <v>224</v>
      </c>
      <c r="HT22">
        <v>225</v>
      </c>
      <c r="HU22">
        <v>226</v>
      </c>
      <c r="HV22">
        <v>227</v>
      </c>
      <c r="HW22">
        <v>228</v>
      </c>
      <c r="HX22">
        <v>229</v>
      </c>
      <c r="HY22">
        <v>230</v>
      </c>
      <c r="HZ22">
        <v>231</v>
      </c>
      <c r="IA22">
        <v>232</v>
      </c>
      <c r="IB22">
        <v>233</v>
      </c>
      <c r="IC22">
        <v>234</v>
      </c>
      <c r="ID22">
        <v>235</v>
      </c>
      <c r="IE22">
        <v>236</v>
      </c>
      <c r="IF22">
        <v>237</v>
      </c>
      <c r="IG22">
        <v>238</v>
      </c>
      <c r="IH22">
        <v>239</v>
      </c>
      <c r="II22">
        <v>240</v>
      </c>
      <c r="IJ22">
        <v>241</v>
      </c>
      <c r="IK22">
        <v>242</v>
      </c>
      <c r="IL22">
        <v>243</v>
      </c>
      <c r="IM22">
        <v>244</v>
      </c>
      <c r="IN22">
        <v>245</v>
      </c>
      <c r="IO22">
        <v>246</v>
      </c>
      <c r="IP22">
        <v>247</v>
      </c>
      <c r="IQ22">
        <v>248</v>
      </c>
      <c r="IR22">
        <v>249</v>
      </c>
      <c r="IS22">
        <v>250</v>
      </c>
      <c r="IT22">
        <v>251</v>
      </c>
      <c r="IU22">
        <v>252</v>
      </c>
      <c r="IV22">
        <v>253</v>
      </c>
      <c r="IW22">
        <v>254</v>
      </c>
      <c r="IX22">
        <v>255</v>
      </c>
      <c r="IY22">
        <v>256</v>
      </c>
      <c r="IZ22">
        <v>257</v>
      </c>
      <c r="JA22">
        <v>258</v>
      </c>
      <c r="JB22">
        <v>259</v>
      </c>
      <c r="JC22">
        <v>260</v>
      </c>
      <c r="JD22">
        <v>261</v>
      </c>
      <c r="JE22">
        <v>262</v>
      </c>
      <c r="JF22">
        <v>263</v>
      </c>
    </row>
    <row r="24" spans="2:333" x14ac:dyDescent="0.2">
      <c r="B24" t="s">
        <v>73</v>
      </c>
      <c r="C24" s="23">
        <f>C4</f>
        <v>1000</v>
      </c>
      <c r="D24" s="23">
        <f>C24+C24*C10</f>
        <v>1030</v>
      </c>
      <c r="E24" s="23">
        <f t="shared" ref="E24:BQ24" si="0">IF((D24-D24*$C$8)&gt;0,(D24-D24*$C$8),0)</f>
        <v>1019.7</v>
      </c>
      <c r="F24" s="23">
        <f t="shared" si="0"/>
        <v>1009.503</v>
      </c>
      <c r="G24" s="23">
        <f t="shared" si="0"/>
        <v>999.40797000000009</v>
      </c>
      <c r="H24" s="23">
        <f t="shared" si="0"/>
        <v>989.41389030000005</v>
      </c>
      <c r="I24" s="23">
        <f t="shared" si="0"/>
        <v>979.51975139700005</v>
      </c>
      <c r="J24" s="23">
        <f t="shared" si="0"/>
        <v>969.72455388303001</v>
      </c>
      <c r="K24" s="23">
        <f t="shared" si="0"/>
        <v>960.0273083441997</v>
      </c>
      <c r="L24" s="23">
        <f t="shared" si="0"/>
        <v>950.42703526075775</v>
      </c>
      <c r="M24" s="23">
        <f t="shared" si="0"/>
        <v>940.92276490815016</v>
      </c>
      <c r="N24" s="23">
        <f t="shared" si="0"/>
        <v>931.5135372590687</v>
      </c>
      <c r="O24" s="23">
        <f t="shared" si="0"/>
        <v>922.198401886478</v>
      </c>
      <c r="P24" s="23">
        <f t="shared" si="0"/>
        <v>912.97641786761324</v>
      </c>
      <c r="Q24" s="23">
        <f t="shared" si="0"/>
        <v>903.84665368893707</v>
      </c>
      <c r="R24" s="23">
        <f t="shared" si="0"/>
        <v>894.80818715204771</v>
      </c>
      <c r="S24" s="23">
        <f t="shared" si="0"/>
        <v>885.86010528052725</v>
      </c>
      <c r="T24" s="23">
        <f t="shared" si="0"/>
        <v>877.00150422772197</v>
      </c>
      <c r="U24" s="23">
        <f t="shared" si="0"/>
        <v>868.23148918544473</v>
      </c>
      <c r="V24" s="23">
        <f t="shared" si="0"/>
        <v>859.54917429359023</v>
      </c>
      <c r="W24" s="23">
        <f t="shared" si="0"/>
        <v>850.95368255065432</v>
      </c>
      <c r="X24" s="23">
        <f t="shared" si="0"/>
        <v>842.44414572514779</v>
      </c>
      <c r="Y24" s="23">
        <f t="shared" si="0"/>
        <v>834.01970426789626</v>
      </c>
      <c r="Z24" s="23">
        <f t="shared" si="0"/>
        <v>825.67950722521732</v>
      </c>
      <c r="AA24" s="23">
        <f t="shared" si="0"/>
        <v>817.42271215296512</v>
      </c>
      <c r="AB24" s="23">
        <f t="shared" si="0"/>
        <v>809.24848503143551</v>
      </c>
      <c r="AC24" s="23">
        <f t="shared" si="0"/>
        <v>801.15600018112116</v>
      </c>
      <c r="AD24" s="23">
        <f t="shared" si="0"/>
        <v>793.14444017930998</v>
      </c>
      <c r="AE24" s="23">
        <f t="shared" si="0"/>
        <v>785.21299577751688</v>
      </c>
      <c r="AF24" s="23">
        <f t="shared" si="0"/>
        <v>777.36086581974166</v>
      </c>
      <c r="AG24" s="23">
        <f t="shared" si="0"/>
        <v>769.58725716154424</v>
      </c>
      <c r="AH24" s="23">
        <f t="shared" si="0"/>
        <v>761.89138458992875</v>
      </c>
      <c r="AI24" s="23">
        <f t="shared" si="0"/>
        <v>754.27247074402942</v>
      </c>
      <c r="AJ24" s="23">
        <f t="shared" si="0"/>
        <v>746.72974603658918</v>
      </c>
      <c r="AK24" s="23">
        <f t="shared" si="0"/>
        <v>739.26244857622328</v>
      </c>
      <c r="AL24" s="23">
        <f t="shared" si="0"/>
        <v>731.86982409046107</v>
      </c>
      <c r="AM24" s="23">
        <f t="shared" si="0"/>
        <v>724.55112584955646</v>
      </c>
      <c r="AN24" s="23">
        <f t="shared" si="0"/>
        <v>717.30561459106093</v>
      </c>
      <c r="AO24" s="23">
        <f t="shared" si="0"/>
        <v>710.13255844515027</v>
      </c>
      <c r="AP24" s="23">
        <f t="shared" si="0"/>
        <v>703.03123286069876</v>
      </c>
      <c r="AQ24" s="23">
        <f t="shared" si="0"/>
        <v>696.00092053209175</v>
      </c>
      <c r="AR24" s="23">
        <f t="shared" si="0"/>
        <v>689.04091132677081</v>
      </c>
      <c r="AS24" s="23">
        <f t="shared" si="0"/>
        <v>682.15050221350316</v>
      </c>
      <c r="AT24" s="23">
        <f t="shared" si="0"/>
        <v>675.3289971913681</v>
      </c>
      <c r="AU24" s="23">
        <f t="shared" si="0"/>
        <v>668.57570721945444</v>
      </c>
      <c r="AV24" s="23">
        <f t="shared" si="0"/>
        <v>661.88995014725992</v>
      </c>
      <c r="AW24" s="23">
        <f t="shared" si="0"/>
        <v>655.27105064578734</v>
      </c>
      <c r="AX24" s="23">
        <f t="shared" si="0"/>
        <v>648.71834013932948</v>
      </c>
      <c r="AY24" s="23">
        <f t="shared" si="0"/>
        <v>642.2311567379362</v>
      </c>
      <c r="AZ24" s="23">
        <f t="shared" si="0"/>
        <v>635.80884517055688</v>
      </c>
      <c r="BA24" s="23">
        <f t="shared" si="0"/>
        <v>629.45075671885127</v>
      </c>
      <c r="BB24" s="23">
        <f t="shared" si="0"/>
        <v>623.15624915166279</v>
      </c>
      <c r="BC24" s="23">
        <f t="shared" si="0"/>
        <v>616.92468666014611</v>
      </c>
      <c r="BD24" s="23">
        <f t="shared" si="0"/>
        <v>610.75543979354461</v>
      </c>
      <c r="BE24" s="23">
        <f t="shared" si="0"/>
        <v>604.64788539560914</v>
      </c>
      <c r="BF24" s="23">
        <f t="shared" si="0"/>
        <v>598.60140654165309</v>
      </c>
      <c r="BG24" s="23">
        <f t="shared" si="0"/>
        <v>592.61539247623659</v>
      </c>
      <c r="BH24" s="23">
        <f t="shared" si="0"/>
        <v>586.6892385514742</v>
      </c>
      <c r="BI24" s="23">
        <f t="shared" si="0"/>
        <v>580.82234616595952</v>
      </c>
      <c r="BJ24" s="23">
        <f t="shared" si="0"/>
        <v>575.01412270429989</v>
      </c>
      <c r="BK24" s="23">
        <f t="shared" si="0"/>
        <v>569.26398147725695</v>
      </c>
      <c r="BL24" s="23">
        <f t="shared" si="0"/>
        <v>563.57134166248443</v>
      </c>
      <c r="BM24" s="23">
        <f t="shared" si="0"/>
        <v>557.93562824585956</v>
      </c>
      <c r="BN24" s="23">
        <f t="shared" si="0"/>
        <v>552.35627196340101</v>
      </c>
      <c r="BO24" s="23">
        <f t="shared" si="0"/>
        <v>546.832709243767</v>
      </c>
      <c r="BP24" s="23">
        <f t="shared" si="0"/>
        <v>541.36438215132932</v>
      </c>
      <c r="BQ24" s="23">
        <f t="shared" si="0"/>
        <v>535.95073832981598</v>
      </c>
      <c r="BR24" s="23">
        <f t="shared" ref="BR24:EC24" si="1">IF((BQ24-BQ24*$C$8)&gt;0,(BQ24-BQ24*$C$8),0)</f>
        <v>530.59123094651784</v>
      </c>
      <c r="BS24" s="23">
        <f t="shared" si="1"/>
        <v>525.28531863705268</v>
      </c>
      <c r="BT24" s="23">
        <f t="shared" si="1"/>
        <v>520.03246545068214</v>
      </c>
      <c r="BU24" s="23">
        <f t="shared" si="1"/>
        <v>514.83214079617528</v>
      </c>
      <c r="BV24" s="23">
        <f t="shared" si="1"/>
        <v>509.68381938821352</v>
      </c>
      <c r="BW24" s="23">
        <f t="shared" si="1"/>
        <v>504.58698119433137</v>
      </c>
      <c r="BX24" s="23">
        <f t="shared" si="1"/>
        <v>499.54111138238807</v>
      </c>
      <c r="BY24" s="23">
        <f t="shared" si="1"/>
        <v>494.54570026856419</v>
      </c>
      <c r="BZ24" s="23">
        <f t="shared" si="1"/>
        <v>489.60024326587853</v>
      </c>
      <c r="CA24" s="23">
        <f t="shared" si="1"/>
        <v>484.70424083321973</v>
      </c>
      <c r="CB24" s="23">
        <f t="shared" si="1"/>
        <v>479.85719842488754</v>
      </c>
      <c r="CC24" s="23">
        <f t="shared" si="1"/>
        <v>475.05862644063865</v>
      </c>
      <c r="CD24" s="23">
        <f t="shared" si="1"/>
        <v>470.30804017623228</v>
      </c>
      <c r="CE24" s="23">
        <f t="shared" si="1"/>
        <v>465.60495977446993</v>
      </c>
      <c r="CF24" s="23">
        <f t="shared" si="1"/>
        <v>460.94891017672524</v>
      </c>
      <c r="CG24" s="23">
        <f t="shared" si="1"/>
        <v>456.33942107495795</v>
      </c>
      <c r="CH24" s="23">
        <f t="shared" si="1"/>
        <v>451.77602686420835</v>
      </c>
      <c r="CI24" s="23">
        <f t="shared" si="1"/>
        <v>447.25826659556628</v>
      </c>
      <c r="CJ24" s="23">
        <f t="shared" si="1"/>
        <v>442.78568392961063</v>
      </c>
      <c r="CK24" s="23">
        <f t="shared" si="1"/>
        <v>438.35782709031452</v>
      </c>
      <c r="CL24" s="23">
        <f t="shared" si="1"/>
        <v>433.97424881941134</v>
      </c>
      <c r="CM24" s="23">
        <f t="shared" si="1"/>
        <v>429.63450633121721</v>
      </c>
      <c r="CN24" s="23">
        <f t="shared" si="1"/>
        <v>425.33816126790504</v>
      </c>
      <c r="CO24" s="23">
        <f t="shared" si="1"/>
        <v>421.08477965522599</v>
      </c>
      <c r="CP24" s="23">
        <f t="shared" si="1"/>
        <v>416.8739318586737</v>
      </c>
      <c r="CQ24" s="23">
        <f t="shared" si="1"/>
        <v>412.70519254008695</v>
      </c>
      <c r="CR24" s="23">
        <f t="shared" si="1"/>
        <v>408.57814061468611</v>
      </c>
      <c r="CS24" s="23">
        <f t="shared" si="1"/>
        <v>404.49235920853926</v>
      </c>
      <c r="CT24" s="23">
        <f t="shared" si="1"/>
        <v>400.44743561645384</v>
      </c>
      <c r="CU24" s="23">
        <f t="shared" si="1"/>
        <v>396.44296126028928</v>
      </c>
      <c r="CV24" s="23">
        <f t="shared" si="1"/>
        <v>392.4785316476864</v>
      </c>
      <c r="CW24" s="23">
        <f t="shared" si="1"/>
        <v>388.55374633120954</v>
      </c>
      <c r="CX24" s="23">
        <f t="shared" si="1"/>
        <v>384.66820886789742</v>
      </c>
      <c r="CY24" s="23">
        <f t="shared" si="1"/>
        <v>380.82152677921846</v>
      </c>
      <c r="CZ24" s="23">
        <f t="shared" si="1"/>
        <v>377.01331151142625</v>
      </c>
      <c r="DA24" s="23">
        <f t="shared" si="1"/>
        <v>373.24317839631198</v>
      </c>
      <c r="DB24" s="23">
        <f t="shared" si="1"/>
        <v>369.51074661234884</v>
      </c>
      <c r="DC24" s="23">
        <f t="shared" si="1"/>
        <v>365.81563914622535</v>
      </c>
      <c r="DD24" s="23">
        <f t="shared" si="1"/>
        <v>362.15748275476312</v>
      </c>
      <c r="DE24" s="23">
        <f t="shared" si="1"/>
        <v>358.53590792721548</v>
      </c>
      <c r="DF24" s="23">
        <f t="shared" si="1"/>
        <v>354.95054884794331</v>
      </c>
      <c r="DG24" s="23">
        <f t="shared" si="1"/>
        <v>351.40104335946387</v>
      </c>
      <c r="DH24" s="23">
        <f t="shared" si="1"/>
        <v>347.88703292586922</v>
      </c>
      <c r="DI24" s="23">
        <f t="shared" si="1"/>
        <v>344.40816259661051</v>
      </c>
      <c r="DJ24" s="23">
        <f t="shared" si="1"/>
        <v>340.96408097064443</v>
      </c>
      <c r="DK24" s="23">
        <f t="shared" si="1"/>
        <v>337.55444016093799</v>
      </c>
      <c r="DL24" s="23">
        <f t="shared" si="1"/>
        <v>334.17889575932861</v>
      </c>
      <c r="DM24" s="23">
        <f t="shared" si="1"/>
        <v>330.83710680173533</v>
      </c>
      <c r="DN24" s="23">
        <f t="shared" si="1"/>
        <v>327.52873573371795</v>
      </c>
      <c r="DO24" s="23">
        <f t="shared" si="1"/>
        <v>324.25344837638079</v>
      </c>
      <c r="DP24" s="23">
        <f t="shared" si="1"/>
        <v>321.010913892617</v>
      </c>
      <c r="DQ24" s="23">
        <f t="shared" si="1"/>
        <v>317.80080475369084</v>
      </c>
      <c r="DR24" s="23">
        <f t="shared" si="1"/>
        <v>314.62279670615391</v>
      </c>
      <c r="DS24" s="23">
        <f t="shared" si="1"/>
        <v>311.47656873909239</v>
      </c>
      <c r="DT24" s="23">
        <f t="shared" si="1"/>
        <v>308.36180305170149</v>
      </c>
      <c r="DU24" s="23">
        <f t="shared" si="1"/>
        <v>305.27818502118447</v>
      </c>
      <c r="DV24" s="23">
        <f t="shared" si="1"/>
        <v>302.22540317097264</v>
      </c>
      <c r="DW24" s="23">
        <f t="shared" si="1"/>
        <v>299.20314913926291</v>
      </c>
      <c r="DX24" s="23">
        <f t="shared" si="1"/>
        <v>296.21111764787025</v>
      </c>
      <c r="DY24" s="23">
        <f t="shared" si="1"/>
        <v>293.24900647139157</v>
      </c>
      <c r="DZ24" s="23">
        <f t="shared" si="1"/>
        <v>290.31651640667764</v>
      </c>
      <c r="EA24" s="23">
        <f t="shared" si="1"/>
        <v>287.41335124261087</v>
      </c>
      <c r="EB24" s="23">
        <f t="shared" si="1"/>
        <v>284.53921773018476</v>
      </c>
      <c r="EC24" s="23">
        <f t="shared" si="1"/>
        <v>281.69382555288291</v>
      </c>
      <c r="ED24" s="23">
        <f t="shared" ref="ED24:GO24" si="2">IF((EC24-EC24*$C$8)&gt;0,(EC24-EC24*$C$8),0)</f>
        <v>278.87688729735407</v>
      </c>
      <c r="EE24" s="23">
        <f t="shared" si="2"/>
        <v>276.08811842438053</v>
      </c>
      <c r="EF24" s="23">
        <f t="shared" si="2"/>
        <v>273.3272372401367</v>
      </c>
      <c r="EG24" s="23">
        <f t="shared" si="2"/>
        <v>270.59396486773534</v>
      </c>
      <c r="EH24" s="23">
        <f t="shared" si="2"/>
        <v>267.88802521905797</v>
      </c>
      <c r="EI24" s="23">
        <f t="shared" si="2"/>
        <v>265.20914496686737</v>
      </c>
      <c r="EJ24" s="23">
        <f t="shared" si="2"/>
        <v>262.55705351719871</v>
      </c>
      <c r="EK24" s="23">
        <f t="shared" si="2"/>
        <v>259.93148298202675</v>
      </c>
      <c r="EL24" s="23">
        <f t="shared" si="2"/>
        <v>257.33216815220646</v>
      </c>
      <c r="EM24" s="23">
        <f t="shared" si="2"/>
        <v>254.7588464706844</v>
      </c>
      <c r="EN24" s="23">
        <f t="shared" si="2"/>
        <v>252.21125800597756</v>
      </c>
      <c r="EO24" s="23">
        <f t="shared" si="2"/>
        <v>249.68914542591779</v>
      </c>
      <c r="EP24" s="23">
        <f t="shared" si="2"/>
        <v>247.1922539716586</v>
      </c>
      <c r="EQ24" s="23">
        <f t="shared" si="2"/>
        <v>244.72033143194201</v>
      </c>
      <c r="ER24" s="23">
        <f t="shared" si="2"/>
        <v>242.2731281176226</v>
      </c>
      <c r="ES24" s="23">
        <f t="shared" si="2"/>
        <v>239.85039683644638</v>
      </c>
      <c r="ET24" s="23">
        <f t="shared" si="2"/>
        <v>237.45189286808193</v>
      </c>
      <c r="EU24" s="23">
        <f t="shared" si="2"/>
        <v>235.0773739394011</v>
      </c>
      <c r="EV24" s="23">
        <f t="shared" si="2"/>
        <v>232.72660020000708</v>
      </c>
      <c r="EW24" s="23">
        <f t="shared" si="2"/>
        <v>230.39933419800701</v>
      </c>
      <c r="EX24" s="23">
        <f t="shared" si="2"/>
        <v>228.09534085602695</v>
      </c>
      <c r="EY24" s="23">
        <f t="shared" si="2"/>
        <v>225.81438744746669</v>
      </c>
      <c r="EZ24" s="23">
        <f t="shared" si="2"/>
        <v>223.55624357299203</v>
      </c>
      <c r="FA24" s="23">
        <f t="shared" si="2"/>
        <v>221.32068113726211</v>
      </c>
      <c r="FB24" s="23">
        <f t="shared" si="2"/>
        <v>219.10747432588948</v>
      </c>
      <c r="FC24" s="23">
        <f t="shared" si="2"/>
        <v>216.91639958263059</v>
      </c>
      <c r="FD24" s="23">
        <f t="shared" si="2"/>
        <v>214.74723558680429</v>
      </c>
      <c r="FE24" s="23">
        <f t="shared" si="2"/>
        <v>212.59976323093625</v>
      </c>
      <c r="FF24" s="23">
        <f t="shared" si="2"/>
        <v>210.4737655986269</v>
      </c>
      <c r="FG24" s="23">
        <f t="shared" si="2"/>
        <v>208.36902794264063</v>
      </c>
      <c r="FH24" s="23">
        <f t="shared" si="2"/>
        <v>206.28533766321422</v>
      </c>
      <c r="FI24" s="23">
        <f t="shared" si="2"/>
        <v>204.22248428658207</v>
      </c>
      <c r="FJ24" s="23">
        <f t="shared" si="2"/>
        <v>202.18025944371624</v>
      </c>
      <c r="FK24" s="23">
        <f t="shared" si="2"/>
        <v>200.15845684927908</v>
      </c>
      <c r="FL24" s="23">
        <f t="shared" si="2"/>
        <v>198.15687228078627</v>
      </c>
      <c r="FM24" s="23">
        <f t="shared" si="2"/>
        <v>196.17530355797842</v>
      </c>
      <c r="FN24" s="23">
        <f t="shared" si="2"/>
        <v>194.21355052239863</v>
      </c>
      <c r="FO24" s="23">
        <f t="shared" si="2"/>
        <v>192.27141501717466</v>
      </c>
      <c r="FP24" s="23">
        <f t="shared" si="2"/>
        <v>190.34870086700292</v>
      </c>
      <c r="FQ24" s="23">
        <f t="shared" si="2"/>
        <v>188.44521385833289</v>
      </c>
      <c r="FR24" s="23">
        <f t="shared" si="2"/>
        <v>186.56076171974956</v>
      </c>
      <c r="FS24" s="23">
        <f t="shared" si="2"/>
        <v>184.69515410255207</v>
      </c>
      <c r="FT24" s="23">
        <f t="shared" si="2"/>
        <v>182.84820256152653</v>
      </c>
      <c r="FU24" s="23">
        <f t="shared" si="2"/>
        <v>181.01972053591126</v>
      </c>
      <c r="FV24" s="23">
        <f t="shared" si="2"/>
        <v>179.20952333055214</v>
      </c>
      <c r="FW24" s="23">
        <f t="shared" si="2"/>
        <v>177.41742809724661</v>
      </c>
      <c r="FX24" s="23">
        <f t="shared" si="2"/>
        <v>175.64325381627415</v>
      </c>
      <c r="FY24" s="23">
        <f t="shared" si="2"/>
        <v>173.8868212781114</v>
      </c>
      <c r="FZ24" s="23">
        <f t="shared" si="2"/>
        <v>172.14795306533028</v>
      </c>
      <c r="GA24" s="23">
        <f t="shared" si="2"/>
        <v>170.42647353467697</v>
      </c>
      <c r="GB24" s="23">
        <f t="shared" si="2"/>
        <v>168.72220879933019</v>
      </c>
      <c r="GC24" s="23">
        <f t="shared" si="2"/>
        <v>167.0349867113369</v>
      </c>
      <c r="GD24" s="23">
        <f t="shared" si="2"/>
        <v>165.36463684422353</v>
      </c>
      <c r="GE24" s="23">
        <f t="shared" si="2"/>
        <v>163.7109904757813</v>
      </c>
      <c r="GF24" s="23">
        <f t="shared" si="2"/>
        <v>162.07388057102349</v>
      </c>
      <c r="GG24" s="23">
        <f t="shared" si="2"/>
        <v>160.45314176531326</v>
      </c>
      <c r="GH24" s="23">
        <f t="shared" si="2"/>
        <v>158.84861034766013</v>
      </c>
      <c r="GI24" s="23">
        <f t="shared" si="2"/>
        <v>157.26012424418352</v>
      </c>
      <c r="GJ24" s="23">
        <f t="shared" si="2"/>
        <v>155.68752300174168</v>
      </c>
      <c r="GK24" s="23">
        <f t="shared" si="2"/>
        <v>154.13064777172426</v>
      </c>
      <c r="GL24" s="23">
        <f t="shared" si="2"/>
        <v>152.589341294007</v>
      </c>
      <c r="GM24" s="23">
        <f t="shared" si="2"/>
        <v>151.06344788106693</v>
      </c>
      <c r="GN24" s="23">
        <f t="shared" si="2"/>
        <v>149.55281340225628</v>
      </c>
      <c r="GO24" s="23">
        <f t="shared" si="2"/>
        <v>148.05728526823373</v>
      </c>
      <c r="GP24" s="23">
        <f t="shared" ref="GP24:JA24" si="3">IF((GO24-GO24*$C$8)&gt;0,(GO24-GO24*$C$8),0)</f>
        <v>146.57671241555138</v>
      </c>
      <c r="GQ24" s="23">
        <f t="shared" si="3"/>
        <v>145.11094529139586</v>
      </c>
      <c r="GR24" s="23">
        <f t="shared" si="3"/>
        <v>143.65983583848191</v>
      </c>
      <c r="GS24" s="23">
        <f t="shared" si="3"/>
        <v>142.22323748009708</v>
      </c>
      <c r="GT24" s="23">
        <f t="shared" si="3"/>
        <v>140.8010051052961</v>
      </c>
      <c r="GU24" s="23">
        <f t="shared" si="3"/>
        <v>139.39299505424313</v>
      </c>
      <c r="GV24" s="23">
        <f t="shared" si="3"/>
        <v>137.9990651037007</v>
      </c>
      <c r="GW24" s="23">
        <f t="shared" si="3"/>
        <v>136.61907445266368</v>
      </c>
      <c r="GX24" s="23">
        <f t="shared" si="3"/>
        <v>135.25288370813703</v>
      </c>
      <c r="GY24" s="23">
        <f t="shared" si="3"/>
        <v>133.90035487105567</v>
      </c>
      <c r="GZ24" s="23">
        <f t="shared" si="3"/>
        <v>132.5613513223451</v>
      </c>
      <c r="HA24" s="23">
        <f t="shared" si="3"/>
        <v>131.23573780912164</v>
      </c>
      <c r="HB24" s="23">
        <f t="shared" si="3"/>
        <v>129.92338043103044</v>
      </c>
      <c r="HC24" s="23">
        <f t="shared" si="3"/>
        <v>128.62414662672015</v>
      </c>
      <c r="HD24" s="23">
        <f t="shared" si="3"/>
        <v>127.33790516045295</v>
      </c>
      <c r="HE24" s="23">
        <f t="shared" si="3"/>
        <v>126.06452610884841</v>
      </c>
      <c r="HF24" s="23">
        <f t="shared" si="3"/>
        <v>124.80388084775993</v>
      </c>
      <c r="HG24" s="23">
        <f t="shared" si="3"/>
        <v>123.55584203928233</v>
      </c>
      <c r="HH24" s="23">
        <f t="shared" si="3"/>
        <v>122.3202836188895</v>
      </c>
      <c r="HI24" s="23">
        <f t="shared" si="3"/>
        <v>121.09708078270062</v>
      </c>
      <c r="HJ24" s="23">
        <f t="shared" si="3"/>
        <v>119.88610997487361</v>
      </c>
      <c r="HK24" s="23">
        <f t="shared" si="3"/>
        <v>118.68724887512487</v>
      </c>
      <c r="HL24" s="23">
        <f t="shared" si="3"/>
        <v>117.50037638637362</v>
      </c>
      <c r="HM24" s="23">
        <f t="shared" si="3"/>
        <v>116.32537262250987</v>
      </c>
      <c r="HN24" s="23">
        <f t="shared" si="3"/>
        <v>115.16211889628478</v>
      </c>
      <c r="HO24" s="23">
        <f t="shared" si="3"/>
        <v>114.01049770732193</v>
      </c>
      <c r="HP24" s="23">
        <f t="shared" si="3"/>
        <v>112.87039273024871</v>
      </c>
      <c r="HQ24" s="23">
        <f t="shared" si="3"/>
        <v>111.74168880294623</v>
      </c>
      <c r="HR24" s="23">
        <f t="shared" si="3"/>
        <v>110.62427191491676</v>
      </c>
      <c r="HS24" s="23">
        <f t="shared" si="3"/>
        <v>109.5180291957676</v>
      </c>
      <c r="HT24" s="23">
        <f t="shared" si="3"/>
        <v>108.42284890380992</v>
      </c>
      <c r="HU24" s="23">
        <f t="shared" si="3"/>
        <v>107.33862041477182</v>
      </c>
      <c r="HV24" s="23">
        <f t="shared" si="3"/>
        <v>106.2652342106241</v>
      </c>
      <c r="HW24" s="23">
        <f t="shared" si="3"/>
        <v>105.20258186851785</v>
      </c>
      <c r="HX24" s="23">
        <f t="shared" si="3"/>
        <v>104.15055604983267</v>
      </c>
      <c r="HY24" s="23">
        <f t="shared" si="3"/>
        <v>103.10905048933435</v>
      </c>
      <c r="HZ24" s="23">
        <f t="shared" si="3"/>
        <v>102.07795998444101</v>
      </c>
      <c r="IA24" s="23">
        <f t="shared" si="3"/>
        <v>101.05718038459659</v>
      </c>
      <c r="IB24" s="23">
        <f t="shared" si="3"/>
        <v>100.04660858075063</v>
      </c>
      <c r="IC24" s="23">
        <f t="shared" si="3"/>
        <v>99.046142494943126</v>
      </c>
      <c r="ID24" s="23">
        <f t="shared" si="3"/>
        <v>98.055681069993696</v>
      </c>
      <c r="IE24" s="23">
        <f t="shared" si="3"/>
        <v>97.075124259293759</v>
      </c>
      <c r="IF24" s="23">
        <f t="shared" si="3"/>
        <v>96.104373016700819</v>
      </c>
      <c r="IG24" s="23">
        <f t="shared" si="3"/>
        <v>95.143329286533813</v>
      </c>
      <c r="IH24" s="23">
        <f t="shared" si="3"/>
        <v>94.191895993668481</v>
      </c>
      <c r="II24" s="23">
        <f t="shared" si="3"/>
        <v>93.249977033731795</v>
      </c>
      <c r="IJ24" s="23">
        <f t="shared" si="3"/>
        <v>92.31747726339448</v>
      </c>
      <c r="IK24" s="23">
        <f t="shared" si="3"/>
        <v>91.394302490760538</v>
      </c>
      <c r="IL24" s="23">
        <f t="shared" si="3"/>
        <v>90.480359465852928</v>
      </c>
      <c r="IM24" s="23">
        <f t="shared" si="3"/>
        <v>89.575555871194396</v>
      </c>
      <c r="IN24" s="23">
        <f t="shared" si="3"/>
        <v>88.679800312482456</v>
      </c>
      <c r="IO24" s="23">
        <f t="shared" si="3"/>
        <v>87.793002309357632</v>
      </c>
      <c r="IP24" s="23">
        <f t="shared" si="3"/>
        <v>86.915072286264049</v>
      </c>
      <c r="IQ24" s="23">
        <f t="shared" si="3"/>
        <v>86.045921563401407</v>
      </c>
      <c r="IR24" s="23">
        <f t="shared" si="3"/>
        <v>85.185462347767398</v>
      </c>
      <c r="IS24" s="23">
        <f t="shared" si="3"/>
        <v>84.33360772428972</v>
      </c>
      <c r="IT24" s="23">
        <f t="shared" si="3"/>
        <v>83.490271647046825</v>
      </c>
      <c r="IU24" s="23">
        <f t="shared" si="3"/>
        <v>82.655368930576358</v>
      </c>
      <c r="IV24" s="23">
        <f t="shared" si="3"/>
        <v>81.82881524127059</v>
      </c>
      <c r="IW24" s="23">
        <f t="shared" si="3"/>
        <v>81.010527088857884</v>
      </c>
      <c r="IX24" s="23">
        <f t="shared" si="3"/>
        <v>80.2004218179693</v>
      </c>
      <c r="IY24" s="23">
        <f t="shared" si="3"/>
        <v>79.39841759978961</v>
      </c>
      <c r="IZ24" s="23">
        <f t="shared" si="3"/>
        <v>78.604433423791718</v>
      </c>
      <c r="JA24" s="23">
        <f t="shared" si="3"/>
        <v>77.818389089553804</v>
      </c>
      <c r="JB24" s="23">
        <f t="shared" ref="JB24:JF24" si="4">IF((JA24-JA24*$C$8)&gt;0,(JA24-JA24*$C$8),0)</f>
        <v>77.040205198658271</v>
      </c>
      <c r="JC24" s="23">
        <f t="shared" si="4"/>
        <v>76.269803146671691</v>
      </c>
      <c r="JD24" s="23">
        <f t="shared" si="4"/>
        <v>75.507105115204979</v>
      </c>
      <c r="JE24" s="23">
        <f t="shared" si="4"/>
        <v>74.752034064052935</v>
      </c>
      <c r="JF24" s="23">
        <f t="shared" si="4"/>
        <v>74.004513723412401</v>
      </c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</row>
    <row r="25" spans="2:333" x14ac:dyDescent="0.2">
      <c r="B25" t="s">
        <v>80</v>
      </c>
      <c r="D25" s="23">
        <f>(C24+C24*C10)*E7</f>
        <v>21.339794762206719</v>
      </c>
      <c r="E25" s="23">
        <f>IF((E24)*$E$7&lt;=0,0,(E24)*$E$7)</f>
        <v>21.126396814584652</v>
      </c>
      <c r="F25" s="23">
        <f t="shared" ref="F25:G25" si="5">IF((F24)*$E$7&lt;=0,0,(F24)*$E$7)</f>
        <v>20.915132846438805</v>
      </c>
      <c r="G25" s="23">
        <f t="shared" si="5"/>
        <v>20.705981517974418</v>
      </c>
      <c r="H25" s="23">
        <f t="shared" ref="H25:BQ25" si="6">IF((H24)*$E$7&lt;=0,0,(H24)*$E$7)</f>
        <v>20.498921702794675</v>
      </c>
      <c r="I25" s="23">
        <f t="shared" si="6"/>
        <v>20.293932485766728</v>
      </c>
      <c r="J25" s="23">
        <f t="shared" si="6"/>
        <v>20.090993160909058</v>
      </c>
      <c r="K25" s="23">
        <f t="shared" si="6"/>
        <v>19.890083229299968</v>
      </c>
      <c r="L25" s="23">
        <f t="shared" si="6"/>
        <v>19.691182397006969</v>
      </c>
      <c r="M25" s="23">
        <f t="shared" si="6"/>
        <v>19.4942705730369</v>
      </c>
      <c r="N25" s="23">
        <f t="shared" si="6"/>
        <v>19.29932786730653</v>
      </c>
      <c r="O25" s="23">
        <f t="shared" si="6"/>
        <v>19.106334588633466</v>
      </c>
      <c r="P25" s="23">
        <f t="shared" si="6"/>
        <v>18.915271242747131</v>
      </c>
      <c r="Q25" s="23">
        <f t="shared" si="6"/>
        <v>18.72611853031966</v>
      </c>
      <c r="R25" s="23">
        <f t="shared" si="6"/>
        <v>18.538857345016464</v>
      </c>
      <c r="S25" s="23">
        <f t="shared" si="6"/>
        <v>18.353468771566298</v>
      </c>
      <c r="T25" s="23">
        <f t="shared" si="6"/>
        <v>18.169934083850634</v>
      </c>
      <c r="U25" s="23">
        <f t="shared" si="6"/>
        <v>17.988234743012129</v>
      </c>
      <c r="V25" s="23">
        <f t="shared" si="6"/>
        <v>17.808352395582006</v>
      </c>
      <c r="W25" s="23">
        <f t="shared" si="6"/>
        <v>17.630268871626186</v>
      </c>
      <c r="X25" s="23">
        <f t="shared" si="6"/>
        <v>17.453966182909923</v>
      </c>
      <c r="Y25" s="23">
        <f t="shared" si="6"/>
        <v>17.279426521080826</v>
      </c>
      <c r="Z25" s="23">
        <f t="shared" si="6"/>
        <v>17.106632255870018</v>
      </c>
      <c r="AA25" s="23">
        <f t="shared" si="6"/>
        <v>16.935565933311317</v>
      </c>
      <c r="AB25" s="23">
        <f t="shared" si="6"/>
        <v>16.766210273978203</v>
      </c>
      <c r="AC25" s="23">
        <f t="shared" si="6"/>
        <v>16.59854817123842</v>
      </c>
      <c r="AD25" s="23">
        <f t="shared" si="6"/>
        <v>16.432562689526037</v>
      </c>
      <c r="AE25" s="23">
        <f t="shared" si="6"/>
        <v>16.268237062630778</v>
      </c>
      <c r="AF25" s="23">
        <f t="shared" si="6"/>
        <v>16.105554692004468</v>
      </c>
      <c r="AG25" s="23">
        <f t="shared" si="6"/>
        <v>15.944499145084425</v>
      </c>
      <c r="AH25" s="23">
        <f t="shared" si="6"/>
        <v>15.785054153633579</v>
      </c>
      <c r="AI25" s="23">
        <f t="shared" si="6"/>
        <v>15.627203612097242</v>
      </c>
      <c r="AJ25" s="23">
        <f t="shared" si="6"/>
        <v>15.470931575976271</v>
      </c>
      <c r="AK25" s="23">
        <f t="shared" si="6"/>
        <v>15.316222260216508</v>
      </c>
      <c r="AL25" s="23">
        <f t="shared" si="6"/>
        <v>15.163060037614343</v>
      </c>
      <c r="AM25" s="23">
        <f t="shared" si="6"/>
        <v>15.011429437238199</v>
      </c>
      <c r="AN25" s="23">
        <f t="shared" si="6"/>
        <v>14.861315142865818</v>
      </c>
      <c r="AO25" s="23">
        <f t="shared" si="6"/>
        <v>14.712701991437159</v>
      </c>
      <c r="AP25" s="23">
        <f t="shared" si="6"/>
        <v>14.565574971522787</v>
      </c>
      <c r="AQ25" s="23">
        <f t="shared" si="6"/>
        <v>14.419919221807559</v>
      </c>
      <c r="AR25" s="23">
        <f t="shared" si="6"/>
        <v>14.275720029589483</v>
      </c>
      <c r="AS25" s="23">
        <f t="shared" si="6"/>
        <v>14.132962829293589</v>
      </c>
      <c r="AT25" s="23">
        <f t="shared" si="6"/>
        <v>13.991633201000653</v>
      </c>
      <c r="AU25" s="23">
        <f t="shared" si="6"/>
        <v>13.851716868990646</v>
      </c>
      <c r="AV25" s="23">
        <f t="shared" si="6"/>
        <v>13.713199700300741</v>
      </c>
      <c r="AW25" s="23">
        <f t="shared" si="6"/>
        <v>13.576067703297735</v>
      </c>
      <c r="AX25" s="23">
        <f t="shared" si="6"/>
        <v>13.440307026264756</v>
      </c>
      <c r="AY25" s="23">
        <f t="shared" si="6"/>
        <v>13.30590395600211</v>
      </c>
      <c r="AZ25" s="23">
        <f t="shared" si="6"/>
        <v>13.17284491644209</v>
      </c>
      <c r="BA25" s="23">
        <f t="shared" si="6"/>
        <v>13.041116467277668</v>
      </c>
      <c r="BB25" s="23">
        <f t="shared" si="6"/>
        <v>12.910705302604892</v>
      </c>
      <c r="BC25" s="23">
        <f t="shared" si="6"/>
        <v>12.781598249578842</v>
      </c>
      <c r="BD25" s="23">
        <f t="shared" si="6"/>
        <v>12.653782267083052</v>
      </c>
      <c r="BE25" s="23">
        <f t="shared" si="6"/>
        <v>12.527244444412222</v>
      </c>
      <c r="BF25" s="23">
        <f t="shared" si="6"/>
        <v>12.401971999968101</v>
      </c>
      <c r="BG25" s="23">
        <f t="shared" si="6"/>
        <v>12.277952279968419</v>
      </c>
      <c r="BH25" s="23">
        <f t="shared" si="6"/>
        <v>12.155172757168735</v>
      </c>
      <c r="BI25" s="23">
        <f t="shared" si="6"/>
        <v>12.033621029597048</v>
      </c>
      <c r="BJ25" s="23">
        <f t="shared" si="6"/>
        <v>11.913284819301078</v>
      </c>
      <c r="BK25" s="23">
        <f t="shared" si="6"/>
        <v>11.794151971108068</v>
      </c>
      <c r="BL25" s="23">
        <f t="shared" si="6"/>
        <v>11.676210451396988</v>
      </c>
      <c r="BM25" s="23">
        <f t="shared" si="6"/>
        <v>11.559448346883018</v>
      </c>
      <c r="BN25" s="23">
        <f t="shared" si="6"/>
        <v>11.443853863414189</v>
      </c>
      <c r="BO25" s="23">
        <f t="shared" si="6"/>
        <v>11.329415324780047</v>
      </c>
      <c r="BP25" s="23">
        <f t="shared" si="6"/>
        <v>11.216121171532247</v>
      </c>
      <c r="BQ25" s="23">
        <f t="shared" si="6"/>
        <v>11.103959959816923</v>
      </c>
      <c r="BR25" s="23">
        <f t="shared" ref="BR25:EC25" si="7">IF((BR24)*$E$7&lt;=0,0,(BR24)*$E$7)</f>
        <v>10.992920360218754</v>
      </c>
      <c r="BS25" s="23">
        <f t="shared" si="7"/>
        <v>10.882991156616567</v>
      </c>
      <c r="BT25" s="23">
        <f t="shared" si="7"/>
        <v>10.774161245050401</v>
      </c>
      <c r="BU25" s="23">
        <f t="shared" si="7"/>
        <v>10.666419632599895</v>
      </c>
      <c r="BV25" s="23">
        <f t="shared" si="7"/>
        <v>10.559755436273898</v>
      </c>
      <c r="BW25" s="23">
        <f t="shared" si="7"/>
        <v>10.454157881911158</v>
      </c>
      <c r="BX25" s="23">
        <f t="shared" si="7"/>
        <v>10.349616303092047</v>
      </c>
      <c r="BY25" s="23">
        <f t="shared" si="7"/>
        <v>10.246120140061127</v>
      </c>
      <c r="BZ25" s="23">
        <f t="shared" si="7"/>
        <v>10.143658938660515</v>
      </c>
      <c r="CA25" s="23">
        <f t="shared" si="7"/>
        <v>10.042222349273908</v>
      </c>
      <c r="CB25" s="23">
        <f t="shared" si="7"/>
        <v>9.9418001257811692</v>
      </c>
      <c r="CC25" s="23">
        <f t="shared" si="7"/>
        <v>9.8423821245233576</v>
      </c>
      <c r="CD25" s="23">
        <f t="shared" si="7"/>
        <v>9.7439583032781254</v>
      </c>
      <c r="CE25" s="23">
        <f t="shared" si="7"/>
        <v>9.6465187202453428</v>
      </c>
      <c r="CF25" s="23">
        <f t="shared" si="7"/>
        <v>9.55005353304289</v>
      </c>
      <c r="CG25" s="23">
        <f t="shared" si="7"/>
        <v>9.4545529977124598</v>
      </c>
      <c r="CH25" s="23">
        <f t="shared" si="7"/>
        <v>9.3600074677353344</v>
      </c>
      <c r="CI25" s="23">
        <f t="shared" si="7"/>
        <v>9.2664073930579818</v>
      </c>
      <c r="CJ25" s="23">
        <f t="shared" si="7"/>
        <v>9.1737433191274018</v>
      </c>
      <c r="CK25" s="23">
        <f t="shared" si="7"/>
        <v>9.0820058859361286</v>
      </c>
      <c r="CL25" s="23">
        <f t="shared" si="7"/>
        <v>8.9911858270767659</v>
      </c>
      <c r="CM25" s="23">
        <f t="shared" si="7"/>
        <v>8.9012739688059987</v>
      </c>
      <c r="CN25" s="23">
        <f t="shared" si="7"/>
        <v>8.8122612291179383</v>
      </c>
      <c r="CO25" s="23">
        <f t="shared" si="7"/>
        <v>8.7241386168267585</v>
      </c>
      <c r="CP25" s="23">
        <f t="shared" si="7"/>
        <v>8.6368972306584908</v>
      </c>
      <c r="CQ25" s="23">
        <f t="shared" si="7"/>
        <v>8.5505282583519051</v>
      </c>
      <c r="CR25" s="23">
        <f t="shared" si="7"/>
        <v>8.4650229757683864</v>
      </c>
      <c r="CS25" s="23">
        <f t="shared" si="7"/>
        <v>8.3803727460107034</v>
      </c>
      <c r="CT25" s="23">
        <f t="shared" si="7"/>
        <v>8.2965690185505956</v>
      </c>
      <c r="CU25" s="23">
        <f t="shared" si="7"/>
        <v>8.2136033283650889</v>
      </c>
      <c r="CV25" s="23">
        <f t="shared" si="7"/>
        <v>8.1314672950814391</v>
      </c>
      <c r="CW25" s="23">
        <f t="shared" si="7"/>
        <v>8.050152622130625</v>
      </c>
      <c r="CX25" s="23">
        <f t="shared" si="7"/>
        <v>7.9696510959093176</v>
      </c>
      <c r="CY25" s="23">
        <f t="shared" si="7"/>
        <v>7.8899545849502246</v>
      </c>
      <c r="CZ25" s="23">
        <f t="shared" si="7"/>
        <v>7.8110550391007223</v>
      </c>
      <c r="DA25" s="23">
        <f t="shared" si="7"/>
        <v>7.7329444887097143</v>
      </c>
      <c r="DB25" s="23">
        <f t="shared" si="7"/>
        <v>7.6556150438226176</v>
      </c>
      <c r="DC25" s="23">
        <f t="shared" si="7"/>
        <v>7.5790588933843912</v>
      </c>
      <c r="DD25" s="23">
        <f t="shared" si="7"/>
        <v>7.5032683044505477</v>
      </c>
      <c r="DE25" s="23">
        <f t="shared" si="7"/>
        <v>7.4282356214060421</v>
      </c>
      <c r="DF25" s="23">
        <f t="shared" si="7"/>
        <v>7.353953265191981</v>
      </c>
      <c r="DG25" s="23">
        <f t="shared" si="7"/>
        <v>7.2804137325400609</v>
      </c>
      <c r="DH25" s="23">
        <f t="shared" si="7"/>
        <v>7.2076095952146604</v>
      </c>
      <c r="DI25" s="23">
        <f t="shared" si="7"/>
        <v>7.1355334992625137</v>
      </c>
      <c r="DJ25" s="23">
        <f t="shared" si="7"/>
        <v>7.0641781642698884</v>
      </c>
      <c r="DK25" s="23">
        <f t="shared" si="7"/>
        <v>6.9935363826271901</v>
      </c>
      <c r="DL25" s="23">
        <f t="shared" si="7"/>
        <v>6.9236010188009178</v>
      </c>
      <c r="DM25" s="23">
        <f t="shared" si="7"/>
        <v>6.8543650086129091</v>
      </c>
      <c r="DN25" s="23">
        <f t="shared" si="7"/>
        <v>6.7858213585267793</v>
      </c>
      <c r="DO25" s="23">
        <f t="shared" si="7"/>
        <v>6.7179631449415123</v>
      </c>
      <c r="DP25" s="23">
        <f t="shared" si="7"/>
        <v>6.6507835134920974</v>
      </c>
      <c r="DQ25" s="23">
        <f t="shared" si="7"/>
        <v>6.5842756783571765</v>
      </c>
      <c r="DR25" s="23">
        <f t="shared" si="7"/>
        <v>6.5184329215736039</v>
      </c>
      <c r="DS25" s="23">
        <f t="shared" si="7"/>
        <v>6.4532485923578689</v>
      </c>
      <c r="DT25" s="23">
        <f t="shared" si="7"/>
        <v>6.3887161064342903</v>
      </c>
      <c r="DU25" s="23">
        <f t="shared" si="7"/>
        <v>6.3248289453699478</v>
      </c>
      <c r="DV25" s="23">
        <f t="shared" si="7"/>
        <v>6.2615806559162479</v>
      </c>
      <c r="DW25" s="23">
        <f t="shared" si="7"/>
        <v>6.1989648493570852</v>
      </c>
      <c r="DX25" s="23">
        <f t="shared" si="7"/>
        <v>6.1369752008635139</v>
      </c>
      <c r="DY25" s="23">
        <f t="shared" si="7"/>
        <v>6.0756054488548799</v>
      </c>
      <c r="DZ25" s="23">
        <f t="shared" si="7"/>
        <v>6.0148493943663306</v>
      </c>
      <c r="EA25" s="23">
        <f t="shared" si="7"/>
        <v>5.954700900422667</v>
      </c>
      <c r="EB25" s="23">
        <f t="shared" si="7"/>
        <v>5.8951538914184409</v>
      </c>
      <c r="EC25" s="23">
        <f t="shared" si="7"/>
        <v>5.8362023525042561</v>
      </c>
      <c r="ED25" s="23">
        <f t="shared" ref="ED25:GO25" si="8">IF((ED24)*$E$7&lt;=0,0,(ED24)*$E$7)</f>
        <v>5.7778403289792131</v>
      </c>
      <c r="EE25" s="23">
        <f t="shared" si="8"/>
        <v>5.7200619256894214</v>
      </c>
      <c r="EF25" s="23">
        <f t="shared" si="8"/>
        <v>5.6628613064325268</v>
      </c>
      <c r="EG25" s="23">
        <f t="shared" si="8"/>
        <v>5.6062326933682014</v>
      </c>
      <c r="EH25" s="23">
        <f t="shared" si="8"/>
        <v>5.5501703664345188</v>
      </c>
      <c r="EI25" s="23">
        <f t="shared" si="8"/>
        <v>5.4946686627701737</v>
      </c>
      <c r="EJ25" s="23">
        <f t="shared" si="8"/>
        <v>5.4397219761424722</v>
      </c>
      <c r="EK25" s="23">
        <f t="shared" si="8"/>
        <v>5.3853247563810482</v>
      </c>
      <c r="EL25" s="23">
        <f t="shared" si="8"/>
        <v>5.3314715088172369</v>
      </c>
      <c r="EM25" s="23">
        <f t="shared" si="8"/>
        <v>5.2781567937290648</v>
      </c>
      <c r="EN25" s="23">
        <f t="shared" si="8"/>
        <v>5.2253752257917743</v>
      </c>
      <c r="EO25" s="23">
        <f t="shared" si="8"/>
        <v>5.1731214735338567</v>
      </c>
      <c r="EP25" s="23">
        <f t="shared" si="8"/>
        <v>5.1213902587985176</v>
      </c>
      <c r="EQ25" s="23">
        <f t="shared" si="8"/>
        <v>5.0701763562105322</v>
      </c>
      <c r="ER25" s="23">
        <f t="shared" si="8"/>
        <v>5.019474592648427</v>
      </c>
      <c r="ES25" s="23">
        <f t="shared" si="8"/>
        <v>4.9692798467219434</v>
      </c>
      <c r="ET25" s="23">
        <f t="shared" si="8"/>
        <v>4.9195870482547237</v>
      </c>
      <c r="EU25" s="23">
        <f t="shared" si="8"/>
        <v>4.8703911777721762</v>
      </c>
      <c r="EV25" s="23">
        <f t="shared" si="8"/>
        <v>4.8216872659944547</v>
      </c>
      <c r="EW25" s="23">
        <f t="shared" si="8"/>
        <v>4.7734703933345104</v>
      </c>
      <c r="EX25" s="23">
        <f t="shared" si="8"/>
        <v>4.7257356894011648</v>
      </c>
      <c r="EY25" s="23">
        <f t="shared" si="8"/>
        <v>4.6784783325071535</v>
      </c>
      <c r="EZ25" s="23">
        <f t="shared" si="8"/>
        <v>4.6316935491820823</v>
      </c>
      <c r="FA25" s="23">
        <f t="shared" si="8"/>
        <v>4.5853766136902614</v>
      </c>
      <c r="FB25" s="23">
        <f t="shared" si="8"/>
        <v>4.5395228475533589</v>
      </c>
      <c r="FC25" s="23">
        <f t="shared" si="8"/>
        <v>4.4941276190778252</v>
      </c>
      <c r="FD25" s="23">
        <f t="shared" si="8"/>
        <v>4.4491863428870468</v>
      </c>
      <c r="FE25" s="23">
        <f t="shared" si="8"/>
        <v>4.4046944794581764</v>
      </c>
      <c r="FF25" s="23">
        <f t="shared" si="8"/>
        <v>4.3606475346635953</v>
      </c>
      <c r="FG25" s="23">
        <f t="shared" si="8"/>
        <v>4.317041059316959</v>
      </c>
      <c r="FH25" s="23">
        <f t="shared" si="8"/>
        <v>4.2738706487237899</v>
      </c>
      <c r="FI25" s="23">
        <f t="shared" si="8"/>
        <v>4.2311319422365514</v>
      </c>
      <c r="FJ25" s="23">
        <f t="shared" si="8"/>
        <v>4.1888206228141858</v>
      </c>
      <c r="FK25" s="23">
        <f t="shared" si="8"/>
        <v>4.1469324165860435</v>
      </c>
      <c r="FL25" s="23">
        <f t="shared" si="8"/>
        <v>4.1054630924201829</v>
      </c>
      <c r="FM25" s="23">
        <f t="shared" si="8"/>
        <v>4.0644084614959812</v>
      </c>
      <c r="FN25" s="23">
        <f t="shared" si="8"/>
        <v>4.0237643768810214</v>
      </c>
      <c r="FO25" s="23">
        <f t="shared" si="8"/>
        <v>3.9835267331122117</v>
      </c>
      <c r="FP25" s="23">
        <f t="shared" si="8"/>
        <v>3.9436914657810895</v>
      </c>
      <c r="FQ25" s="23">
        <f t="shared" si="8"/>
        <v>3.9042545511232789</v>
      </c>
      <c r="FR25" s="23">
        <f t="shared" si="8"/>
        <v>3.865212005612046</v>
      </c>
      <c r="FS25" s="23">
        <f t="shared" si="8"/>
        <v>3.8265598855559255</v>
      </c>
      <c r="FT25" s="23">
        <f t="shared" si="8"/>
        <v>3.7882942867003662</v>
      </c>
      <c r="FU25" s="23">
        <f t="shared" si="8"/>
        <v>3.7504113438333624</v>
      </c>
      <c r="FV25" s="23">
        <f t="shared" si="8"/>
        <v>3.7129072303950283</v>
      </c>
      <c r="FW25" s="23">
        <f t="shared" si="8"/>
        <v>3.6757781580910782</v>
      </c>
      <c r="FX25" s="23">
        <f t="shared" si="8"/>
        <v>3.6390203765101674</v>
      </c>
      <c r="FY25" s="23">
        <f t="shared" si="8"/>
        <v>3.6026301727450654</v>
      </c>
      <c r="FZ25" s="23">
        <f t="shared" si="8"/>
        <v>3.5666038710176147</v>
      </c>
      <c r="GA25" s="23">
        <f t="shared" si="8"/>
        <v>3.5309378323074383</v>
      </c>
      <c r="GB25" s="23">
        <f t="shared" si="8"/>
        <v>3.4956284539843638</v>
      </c>
      <c r="GC25" s="23">
        <f t="shared" si="8"/>
        <v>3.4606721694445204</v>
      </c>
      <c r="GD25" s="23">
        <f t="shared" si="8"/>
        <v>3.4260654477500752</v>
      </c>
      <c r="GE25" s="23">
        <f t="shared" si="8"/>
        <v>3.3918047932725748</v>
      </c>
      <c r="GF25" s="23">
        <f t="shared" si="8"/>
        <v>3.3578867453398491</v>
      </c>
      <c r="GG25" s="23">
        <f t="shared" si="8"/>
        <v>3.3243078778864503</v>
      </c>
      <c r="GH25" s="23">
        <f t="shared" si="8"/>
        <v>3.2910647991075859</v>
      </c>
      <c r="GI25" s="23">
        <f t="shared" si="8"/>
        <v>3.2581541511165097</v>
      </c>
      <c r="GJ25" s="23">
        <f t="shared" si="8"/>
        <v>3.225572609605345</v>
      </c>
      <c r="GK25" s="23">
        <f t="shared" si="8"/>
        <v>3.1933168835092913</v>
      </c>
      <c r="GL25" s="23">
        <f t="shared" si="8"/>
        <v>3.1613837146741979</v>
      </c>
      <c r="GM25" s="23">
        <f t="shared" si="8"/>
        <v>3.1297698775274561</v>
      </c>
      <c r="GN25" s="23">
        <f t="shared" si="8"/>
        <v>3.0984721787521816</v>
      </c>
      <c r="GO25" s="23">
        <f t="shared" si="8"/>
        <v>3.0674874569646602</v>
      </c>
      <c r="GP25" s="23">
        <f t="shared" ref="GP25:JA25" si="9">IF((GP24)*$E$7&lt;=0,0,(GP24)*$E$7)</f>
        <v>3.0368125823950134</v>
      </c>
      <c r="GQ25" s="23">
        <f t="shared" si="9"/>
        <v>3.0064444565710633</v>
      </c>
      <c r="GR25" s="23">
        <f t="shared" si="9"/>
        <v>2.9763800120053525</v>
      </c>
      <c r="GS25" s="23">
        <f t="shared" si="9"/>
        <v>2.9466162118852992</v>
      </c>
      <c r="GT25" s="23">
        <f t="shared" si="9"/>
        <v>2.9171500497664455</v>
      </c>
      <c r="GU25" s="23">
        <f t="shared" si="9"/>
        <v>2.8879785492687811</v>
      </c>
      <c r="GV25" s="23">
        <f t="shared" si="9"/>
        <v>2.8590987637760934</v>
      </c>
      <c r="GW25" s="23">
        <f t="shared" si="9"/>
        <v>2.8305077761383322</v>
      </c>
      <c r="GX25" s="23">
        <f t="shared" si="9"/>
        <v>2.8022026983769486</v>
      </c>
      <c r="GY25" s="23">
        <f t="shared" si="9"/>
        <v>2.7741806713931791</v>
      </c>
      <c r="GZ25" s="23">
        <f t="shared" si="9"/>
        <v>2.7464388646792472</v>
      </c>
      <c r="HA25" s="23">
        <f t="shared" si="9"/>
        <v>2.7189744760324546</v>
      </c>
      <c r="HB25" s="23">
        <f t="shared" si="9"/>
        <v>2.6917847312721301</v>
      </c>
      <c r="HC25" s="23">
        <f t="shared" si="9"/>
        <v>2.6648668839594092</v>
      </c>
      <c r="HD25" s="23">
        <f t="shared" si="9"/>
        <v>2.638218215119815</v>
      </c>
      <c r="HE25" s="23">
        <f t="shared" si="9"/>
        <v>2.611836032968617</v>
      </c>
      <c r="HF25" s="23">
        <f t="shared" si="9"/>
        <v>2.5857176726389306</v>
      </c>
      <c r="HG25" s="23">
        <f t="shared" si="9"/>
        <v>2.5598604959125413</v>
      </c>
      <c r="HH25" s="23">
        <f t="shared" si="9"/>
        <v>2.5342618909534163</v>
      </c>
      <c r="HI25" s="23">
        <f t="shared" si="9"/>
        <v>2.5089192720438822</v>
      </c>
      <c r="HJ25" s="23">
        <f t="shared" si="9"/>
        <v>2.4838300793234431</v>
      </c>
      <c r="HK25" s="23">
        <f t="shared" si="9"/>
        <v>2.4589917785302084</v>
      </c>
      <c r="HL25" s="23">
        <f t="shared" si="9"/>
        <v>2.4344018607449067</v>
      </c>
      <c r="HM25" s="23">
        <f t="shared" si="9"/>
        <v>2.4100578421374572</v>
      </c>
      <c r="HN25" s="23">
        <f t="shared" si="9"/>
        <v>2.3859572637160826</v>
      </c>
      <c r="HO25" s="23">
        <f t="shared" si="9"/>
        <v>2.362097691078922</v>
      </c>
      <c r="HP25" s="23">
        <f t="shared" si="9"/>
        <v>2.3384767141681326</v>
      </c>
      <c r="HQ25" s="23">
        <f t="shared" si="9"/>
        <v>2.3150919470264517</v>
      </c>
      <c r="HR25" s="23">
        <f t="shared" si="9"/>
        <v>2.2919410275561871</v>
      </c>
      <c r="HS25" s="23">
        <f t="shared" si="9"/>
        <v>2.2690216172806252</v>
      </c>
      <c r="HT25" s="23">
        <f t="shared" si="9"/>
        <v>2.246331401107819</v>
      </c>
      <c r="HU25" s="23">
        <f t="shared" si="9"/>
        <v>2.2238680870967409</v>
      </c>
      <c r="HV25" s="23">
        <f t="shared" si="9"/>
        <v>2.2016294062257731</v>
      </c>
      <c r="HW25" s="23">
        <f t="shared" si="9"/>
        <v>2.1796131121635152</v>
      </c>
      <c r="HX25" s="23">
        <f t="shared" si="9"/>
        <v>2.1578169810418801</v>
      </c>
      <c r="HY25" s="23">
        <f t="shared" si="9"/>
        <v>2.1362388112314616</v>
      </c>
      <c r="HZ25" s="23">
        <f t="shared" si="9"/>
        <v>2.114876423119147</v>
      </c>
      <c r="IA25" s="23">
        <f t="shared" si="9"/>
        <v>2.0937276588879552</v>
      </c>
      <c r="IB25" s="23">
        <f t="shared" si="9"/>
        <v>2.0727903822990759</v>
      </c>
      <c r="IC25" s="23">
        <f t="shared" si="9"/>
        <v>2.0520624784760852</v>
      </c>
      <c r="ID25" s="23">
        <f t="shared" si="9"/>
        <v>2.0315418536913241</v>
      </c>
      <c r="IE25" s="23">
        <f t="shared" si="9"/>
        <v>2.0112264351544109</v>
      </c>
      <c r="IF25" s="23">
        <f t="shared" si="9"/>
        <v>1.9911141708028668</v>
      </c>
      <c r="IG25" s="23">
        <f t="shared" si="9"/>
        <v>1.9712030290948381</v>
      </c>
      <c r="IH25" s="23">
        <f t="shared" si="9"/>
        <v>1.95149099880389</v>
      </c>
      <c r="II25" s="23">
        <f t="shared" si="9"/>
        <v>1.931976088815851</v>
      </c>
      <c r="IJ25" s="23">
        <f t="shared" si="9"/>
        <v>1.9126563279276925</v>
      </c>
      <c r="IK25" s="23">
        <f t="shared" si="9"/>
        <v>1.8935297646484157</v>
      </c>
      <c r="IL25" s="23">
        <f t="shared" si="9"/>
        <v>1.8745944670019314</v>
      </c>
      <c r="IM25" s="23">
        <f t="shared" si="9"/>
        <v>1.8558485223319121</v>
      </c>
      <c r="IN25" s="23">
        <f t="shared" si="9"/>
        <v>1.837290037108593</v>
      </c>
      <c r="IO25" s="23">
        <f t="shared" si="9"/>
        <v>1.8189171367375072</v>
      </c>
      <c r="IP25" s="23">
        <f t="shared" si="9"/>
        <v>1.800727965370132</v>
      </c>
      <c r="IQ25" s="23">
        <f t="shared" si="9"/>
        <v>1.7827206857164306</v>
      </c>
      <c r="IR25" s="23">
        <f t="shared" si="9"/>
        <v>1.7648934788592663</v>
      </c>
      <c r="IS25" s="23">
        <f t="shared" si="9"/>
        <v>1.7472445440706736</v>
      </c>
      <c r="IT25" s="23">
        <f t="shared" si="9"/>
        <v>1.7297720986299669</v>
      </c>
      <c r="IU25" s="23">
        <f t="shared" si="9"/>
        <v>1.7124743776436673</v>
      </c>
      <c r="IV25" s="23">
        <f t="shared" si="9"/>
        <v>1.6953496338672305</v>
      </c>
      <c r="IW25" s="23">
        <f t="shared" si="9"/>
        <v>1.6783961375285583</v>
      </c>
      <c r="IX25" s="23">
        <f t="shared" si="9"/>
        <v>1.6616121761532725</v>
      </c>
      <c r="IY25" s="23">
        <f t="shared" si="9"/>
        <v>1.6449960543917399</v>
      </c>
      <c r="IZ25" s="23">
        <f t="shared" si="9"/>
        <v>1.6285460938478225</v>
      </c>
      <c r="JA25" s="23">
        <f t="shared" si="9"/>
        <v>1.6122606329093443</v>
      </c>
      <c r="JB25" s="23">
        <f t="shared" ref="JB25:JF25" si="10">IF((JB24)*$E$7&lt;=0,0,(JB24)*$E$7)</f>
        <v>1.5961380265802509</v>
      </c>
      <c r="JC25" s="23">
        <f t="shared" si="10"/>
        <v>1.5801766463144487</v>
      </c>
      <c r="JD25" s="23">
        <f t="shared" si="10"/>
        <v>1.5643748798513042</v>
      </c>
      <c r="JE25" s="23">
        <f t="shared" si="10"/>
        <v>1.5487311310527914</v>
      </c>
      <c r="JF25" s="23">
        <f t="shared" si="10"/>
        <v>1.5332438197422633</v>
      </c>
      <c r="JG25" s="23">
        <f>SUM(D25:JF25)</f>
        <v>1982.1883380661852</v>
      </c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</row>
    <row r="26" spans="2:333" x14ac:dyDescent="0.2">
      <c r="B26" s="21" t="s">
        <v>76</v>
      </c>
      <c r="D26" s="23">
        <f>D24*C8+D25+$C$9/12</f>
        <v>33.639794762206719</v>
      </c>
      <c r="E26" s="23">
        <f>IF(E24*$C$8+E25+$C$9/12&gt;5,E24*$C$8+E25,5)</f>
        <v>31.323396814584655</v>
      </c>
      <c r="F26" s="23">
        <f t="shared" ref="F26:BQ26" si="11">IF(F24*$C$8+F25+$C$9/12&gt;5,F24*$C$8+F25,5)</f>
        <v>31.010162846438806</v>
      </c>
      <c r="G26" s="23">
        <f t="shared" si="11"/>
        <v>30.700061217974419</v>
      </c>
      <c r="H26" s="23">
        <f t="shared" si="11"/>
        <v>30.393060605794673</v>
      </c>
      <c r="I26" s="23">
        <f t="shared" si="11"/>
        <v>30.089129999736727</v>
      </c>
      <c r="J26" s="23">
        <f t="shared" si="11"/>
        <v>29.78823869973936</v>
      </c>
      <c r="K26" s="23">
        <f t="shared" si="11"/>
        <v>29.490356312741966</v>
      </c>
      <c r="L26" s="23">
        <f t="shared" si="11"/>
        <v>29.195452749614546</v>
      </c>
      <c r="M26" s="23">
        <f t="shared" si="11"/>
        <v>28.903498222118401</v>
      </c>
      <c r="N26" s="23">
        <f t="shared" si="11"/>
        <v>28.614463239897219</v>
      </c>
      <c r="O26" s="23">
        <f t="shared" si="11"/>
        <v>28.328318607498247</v>
      </c>
      <c r="P26" s="23">
        <f t="shared" si="11"/>
        <v>28.045035421423265</v>
      </c>
      <c r="Q26" s="23">
        <f t="shared" si="11"/>
        <v>27.764585067209033</v>
      </c>
      <c r="R26" s="23">
        <f t="shared" si="11"/>
        <v>27.486939216536939</v>
      </c>
      <c r="S26" s="23">
        <f t="shared" si="11"/>
        <v>27.212069824371572</v>
      </c>
      <c r="T26" s="23">
        <f t="shared" si="11"/>
        <v>26.939949126127857</v>
      </c>
      <c r="U26" s="23">
        <f t="shared" si="11"/>
        <v>26.670549634866575</v>
      </c>
      <c r="V26" s="23">
        <f t="shared" si="11"/>
        <v>26.403844138517908</v>
      </c>
      <c r="W26" s="23">
        <f t="shared" si="11"/>
        <v>26.139805697132729</v>
      </c>
      <c r="X26" s="23">
        <f t="shared" si="11"/>
        <v>25.878407640161399</v>
      </c>
      <c r="Y26" s="23">
        <f t="shared" si="11"/>
        <v>25.619623563759788</v>
      </c>
      <c r="Z26" s="23">
        <f t="shared" si="11"/>
        <v>25.363427328122192</v>
      </c>
      <c r="AA26" s="23">
        <f t="shared" si="11"/>
        <v>25.109793054840967</v>
      </c>
      <c r="AB26" s="23">
        <f t="shared" si="11"/>
        <v>24.858695124292559</v>
      </c>
      <c r="AC26" s="23">
        <f t="shared" si="11"/>
        <v>24.610108173049632</v>
      </c>
      <c r="AD26" s="23">
        <f t="shared" si="11"/>
        <v>24.364007091319138</v>
      </c>
      <c r="AE26" s="23">
        <f t="shared" si="11"/>
        <v>24.120367020405947</v>
      </c>
      <c r="AF26" s="23">
        <f t="shared" si="11"/>
        <v>23.879163350201885</v>
      </c>
      <c r="AG26" s="23">
        <f t="shared" si="11"/>
        <v>23.640371716699867</v>
      </c>
      <c r="AH26" s="23">
        <f t="shared" si="11"/>
        <v>23.403967999532867</v>
      </c>
      <c r="AI26" s="23">
        <f t="shared" si="11"/>
        <v>23.169928319537537</v>
      </c>
      <c r="AJ26" s="23">
        <f t="shared" si="11"/>
        <v>22.938229036342165</v>
      </c>
      <c r="AK26" s="23">
        <f t="shared" si="11"/>
        <v>22.70884674597874</v>
      </c>
      <c r="AL26" s="23">
        <f t="shared" si="11"/>
        <v>22.481758278518953</v>
      </c>
      <c r="AM26" s="23">
        <f t="shared" si="11"/>
        <v>22.256940695733764</v>
      </c>
      <c r="AN26" s="23">
        <f t="shared" si="11"/>
        <v>22.034371288776427</v>
      </c>
      <c r="AO26" s="23">
        <f t="shared" si="11"/>
        <v>21.814027575888662</v>
      </c>
      <c r="AP26" s="23">
        <f t="shared" si="11"/>
        <v>21.595887300129775</v>
      </c>
      <c r="AQ26" s="23">
        <f t="shared" si="11"/>
        <v>21.379928427128476</v>
      </c>
      <c r="AR26" s="23">
        <f t="shared" si="11"/>
        <v>21.166129142857191</v>
      </c>
      <c r="AS26" s="23">
        <f t="shared" si="11"/>
        <v>20.954467851428621</v>
      </c>
      <c r="AT26" s="23">
        <f t="shared" si="11"/>
        <v>20.744923172914334</v>
      </c>
      <c r="AU26" s="23">
        <f t="shared" si="11"/>
        <v>20.537473941185191</v>
      </c>
      <c r="AV26" s="23">
        <f t="shared" si="11"/>
        <v>20.332099201773339</v>
      </c>
      <c r="AW26" s="23">
        <f t="shared" si="11"/>
        <v>20.128778209755609</v>
      </c>
      <c r="AX26" s="23">
        <f t="shared" si="11"/>
        <v>19.92749042765805</v>
      </c>
      <c r="AY26" s="23">
        <f t="shared" si="11"/>
        <v>19.728215523381472</v>
      </c>
      <c r="AZ26" s="23">
        <f t="shared" si="11"/>
        <v>19.530933368147657</v>
      </c>
      <c r="BA26" s="23">
        <f t="shared" si="11"/>
        <v>19.335624034466179</v>
      </c>
      <c r="BB26" s="23">
        <f t="shared" si="11"/>
        <v>19.142267794121519</v>
      </c>
      <c r="BC26" s="23">
        <f t="shared" si="11"/>
        <v>18.950845116180304</v>
      </c>
      <c r="BD26" s="23">
        <f t="shared" si="11"/>
        <v>18.761336665018497</v>
      </c>
      <c r="BE26" s="23">
        <f t="shared" si="11"/>
        <v>18.573723298368314</v>
      </c>
      <c r="BF26" s="23">
        <f t="shared" si="11"/>
        <v>18.387986065384631</v>
      </c>
      <c r="BG26" s="23">
        <f t="shared" si="11"/>
        <v>18.204106204730785</v>
      </c>
      <c r="BH26" s="23">
        <f t="shared" si="11"/>
        <v>18.022065142683477</v>
      </c>
      <c r="BI26" s="23">
        <f t="shared" si="11"/>
        <v>17.841844491256644</v>
      </c>
      <c r="BJ26" s="23">
        <f t="shared" si="11"/>
        <v>17.663426046344078</v>
      </c>
      <c r="BK26" s="23">
        <f t="shared" si="11"/>
        <v>17.486791785880637</v>
      </c>
      <c r="BL26" s="23">
        <f t="shared" si="11"/>
        <v>17.311923868021832</v>
      </c>
      <c r="BM26" s="23">
        <f t="shared" si="11"/>
        <v>17.138804629341614</v>
      </c>
      <c r="BN26" s="23">
        <f t="shared" si="11"/>
        <v>16.967416583048198</v>
      </c>
      <c r="BO26" s="23">
        <f t="shared" si="11"/>
        <v>16.797742417217719</v>
      </c>
      <c r="BP26" s="23">
        <f t="shared" si="11"/>
        <v>16.629764993045541</v>
      </c>
      <c r="BQ26" s="23">
        <f t="shared" si="11"/>
        <v>16.463467343115084</v>
      </c>
      <c r="BR26" s="23">
        <f t="shared" ref="BR26:EC26" si="12">IF(BR24*$C$8+BR25+$C$9/12&gt;5,BR24*$C$8+BR25,5)</f>
        <v>16.298832669683932</v>
      </c>
      <c r="BS26" s="23">
        <f t="shared" si="12"/>
        <v>16.135844342987095</v>
      </c>
      <c r="BT26" s="23">
        <f t="shared" si="12"/>
        <v>15.974485899557223</v>
      </c>
      <c r="BU26" s="23">
        <f t="shared" si="12"/>
        <v>15.814741040561648</v>
      </c>
      <c r="BV26" s="23">
        <f t="shared" si="12"/>
        <v>15.656593630156033</v>
      </c>
      <c r="BW26" s="23">
        <f t="shared" si="12"/>
        <v>15.500027693854472</v>
      </c>
      <c r="BX26" s="23">
        <f t="shared" si="12"/>
        <v>15.345027416915928</v>
      </c>
      <c r="BY26" s="23">
        <f t="shared" si="12"/>
        <v>15.19157714274677</v>
      </c>
      <c r="BZ26" s="23">
        <f t="shared" si="12"/>
        <v>15.039661371319301</v>
      </c>
      <c r="CA26" s="23">
        <f t="shared" si="12"/>
        <v>14.889264757606107</v>
      </c>
      <c r="CB26" s="23">
        <f t="shared" si="12"/>
        <v>14.740372110030044</v>
      </c>
      <c r="CC26" s="23">
        <f t="shared" si="12"/>
        <v>14.592968388929744</v>
      </c>
      <c r="CD26" s="23">
        <f t="shared" si="12"/>
        <v>14.447038705040448</v>
      </c>
      <c r="CE26" s="23">
        <f t="shared" si="12"/>
        <v>14.302568317990042</v>
      </c>
      <c r="CF26" s="23">
        <f t="shared" si="12"/>
        <v>14.159542634810142</v>
      </c>
      <c r="CG26" s="23">
        <f t="shared" si="12"/>
        <v>14.01794720846204</v>
      </c>
      <c r="CH26" s="23">
        <f t="shared" si="12"/>
        <v>13.877767736377418</v>
      </c>
      <c r="CI26" s="23">
        <f t="shared" si="12"/>
        <v>13.738990059013645</v>
      </c>
      <c r="CJ26" s="23">
        <f t="shared" si="12"/>
        <v>13.601600158423508</v>
      </c>
      <c r="CK26" s="23">
        <f t="shared" si="12"/>
        <v>13.465584156839274</v>
      </c>
      <c r="CL26" s="23">
        <f t="shared" si="12"/>
        <v>13.33092831527088</v>
      </c>
      <c r="CM26" s="23">
        <f t="shared" si="12"/>
        <v>13.197619032118171</v>
      </c>
      <c r="CN26" s="23">
        <f t="shared" si="12"/>
        <v>13.06564284179699</v>
      </c>
      <c r="CO26" s="23">
        <f t="shared" si="12"/>
        <v>12.934986413379018</v>
      </c>
      <c r="CP26" s="23">
        <f t="shared" si="12"/>
        <v>12.805636549245229</v>
      </c>
      <c r="CQ26" s="23">
        <f t="shared" si="12"/>
        <v>12.677580183752774</v>
      </c>
      <c r="CR26" s="23">
        <f t="shared" si="12"/>
        <v>12.550804381915247</v>
      </c>
      <c r="CS26" s="23">
        <f t="shared" si="12"/>
        <v>12.425296338096096</v>
      </c>
      <c r="CT26" s="23">
        <f t="shared" si="12"/>
        <v>12.301043374715135</v>
      </c>
      <c r="CU26" s="23">
        <f t="shared" si="12"/>
        <v>12.178032940967981</v>
      </c>
      <c r="CV26" s="23">
        <f t="shared" si="12"/>
        <v>12.056252611558303</v>
      </c>
      <c r="CW26" s="23">
        <f t="shared" si="12"/>
        <v>11.935690085442721</v>
      </c>
      <c r="CX26" s="23">
        <f t="shared" si="12"/>
        <v>11.816333184588292</v>
      </c>
      <c r="CY26" s="23">
        <f t="shared" si="12"/>
        <v>11.69816985274241</v>
      </c>
      <c r="CZ26" s="23">
        <f t="shared" si="12"/>
        <v>11.581188154214985</v>
      </c>
      <c r="DA26" s="23">
        <f t="shared" si="12"/>
        <v>11.465376272672835</v>
      </c>
      <c r="DB26" s="23">
        <f t="shared" si="12"/>
        <v>11.350722509946106</v>
      </c>
      <c r="DC26" s="23">
        <f t="shared" si="12"/>
        <v>11.237215284846645</v>
      </c>
      <c r="DD26" s="23">
        <f t="shared" si="12"/>
        <v>11.12484313199818</v>
      </c>
      <c r="DE26" s="23">
        <f t="shared" si="12"/>
        <v>11.013594700678198</v>
      </c>
      <c r="DF26" s="23">
        <f t="shared" si="12"/>
        <v>10.903458753671414</v>
      </c>
      <c r="DG26" s="23">
        <f t="shared" si="12"/>
        <v>10.7944241661347</v>
      </c>
      <c r="DH26" s="23">
        <f t="shared" si="12"/>
        <v>10.686479924473353</v>
      </c>
      <c r="DI26" s="23">
        <f t="shared" si="12"/>
        <v>10.579615125228619</v>
      </c>
      <c r="DJ26" s="23">
        <f t="shared" si="12"/>
        <v>10.473818973976332</v>
      </c>
      <c r="DK26" s="23">
        <f t="shared" si="12"/>
        <v>10.369080784236569</v>
      </c>
      <c r="DL26" s="23">
        <f t="shared" si="12"/>
        <v>10.265389976394204</v>
      </c>
      <c r="DM26" s="23">
        <f t="shared" si="12"/>
        <v>10.162736076630262</v>
      </c>
      <c r="DN26" s="23">
        <f t="shared" si="12"/>
        <v>10.061108715863959</v>
      </c>
      <c r="DO26" s="23">
        <f t="shared" si="12"/>
        <v>9.9604976287053208</v>
      </c>
      <c r="DP26" s="23">
        <f t="shared" si="12"/>
        <v>9.8608926524182685</v>
      </c>
      <c r="DQ26" s="23">
        <f t="shared" si="12"/>
        <v>9.7622837258940844</v>
      </c>
      <c r="DR26" s="23">
        <f t="shared" si="12"/>
        <v>9.6646608886351437</v>
      </c>
      <c r="DS26" s="23">
        <f t="shared" si="12"/>
        <v>9.5680142797487928</v>
      </c>
      <c r="DT26" s="23">
        <f t="shared" si="12"/>
        <v>9.4723341369513054</v>
      </c>
      <c r="DU26" s="23">
        <f t="shared" si="12"/>
        <v>9.3776107955817931</v>
      </c>
      <c r="DV26" s="23">
        <f t="shared" si="12"/>
        <v>9.2838346876259745</v>
      </c>
      <c r="DW26" s="23">
        <f t="shared" si="12"/>
        <v>9.1909963407497148</v>
      </c>
      <c r="DX26" s="23">
        <f t="shared" si="12"/>
        <v>9.0990863773422159</v>
      </c>
      <c r="DY26" s="23">
        <f t="shared" si="12"/>
        <v>9.0080955135687955</v>
      </c>
      <c r="DZ26" s="23">
        <f t="shared" si="12"/>
        <v>8.9180145584331072</v>
      </c>
      <c r="EA26" s="23">
        <f t="shared" si="12"/>
        <v>8.8288344128487761</v>
      </c>
      <c r="EB26" s="23">
        <f t="shared" si="12"/>
        <v>8.7405460687202883</v>
      </c>
      <c r="EC26" s="23">
        <f t="shared" si="12"/>
        <v>8.6531406080330857</v>
      </c>
      <c r="ED26" s="23">
        <f t="shared" ref="ED26:GO26" si="13">IF(ED24*$C$8+ED25+$C$9/12&gt;5,ED24*$C$8+ED25,5)</f>
        <v>8.5666092019527547</v>
      </c>
      <c r="EE26" s="23">
        <f t="shared" si="13"/>
        <v>8.4809431099332269</v>
      </c>
      <c r="EF26" s="23">
        <f t="shared" si="13"/>
        <v>8.3961336788338947</v>
      </c>
      <c r="EG26" s="23">
        <f t="shared" si="13"/>
        <v>8.3121723420455549</v>
      </c>
      <c r="EH26" s="23">
        <f t="shared" si="13"/>
        <v>8.2290506186250987</v>
      </c>
      <c r="EI26" s="23">
        <f t="shared" si="13"/>
        <v>8.146760112438848</v>
      </c>
      <c r="EJ26" s="23">
        <f t="shared" si="13"/>
        <v>8.0652925113144605</v>
      </c>
      <c r="EK26" s="23">
        <f t="shared" si="13"/>
        <v>7.9846395862013164</v>
      </c>
      <c r="EL26" s="23">
        <f t="shared" si="13"/>
        <v>7.9047931903393014</v>
      </c>
      <c r="EM26" s="23">
        <f t="shared" si="13"/>
        <v>7.8257452584359086</v>
      </c>
      <c r="EN26" s="23">
        <f t="shared" si="13"/>
        <v>7.7474878058515504</v>
      </c>
      <c r="EO26" s="23">
        <f t="shared" si="13"/>
        <v>7.6700129277930351</v>
      </c>
      <c r="EP26" s="23">
        <f t="shared" si="13"/>
        <v>7.5933127985151039</v>
      </c>
      <c r="EQ26" s="23">
        <f t="shared" si="13"/>
        <v>7.5173796705299525</v>
      </c>
      <c r="ER26" s="23">
        <f t="shared" si="13"/>
        <v>7.442205873824653</v>
      </c>
      <c r="ES26" s="23">
        <f t="shared" si="13"/>
        <v>7.3677838150864075</v>
      </c>
      <c r="ET26" s="23">
        <f t="shared" si="13"/>
        <v>7.2941059769355432</v>
      </c>
      <c r="EU26" s="23">
        <f t="shared" si="13"/>
        <v>7.2211649171661874</v>
      </c>
      <c r="EV26" s="23">
        <f t="shared" si="13"/>
        <v>7.1489532679945258</v>
      </c>
      <c r="EW26" s="23">
        <f t="shared" si="13"/>
        <v>7.0774637353145806</v>
      </c>
      <c r="EX26" s="23">
        <f t="shared" si="13"/>
        <v>7.0066890979614342</v>
      </c>
      <c r="EY26" s="23">
        <f t="shared" si="13"/>
        <v>6.93662220698182</v>
      </c>
      <c r="EZ26" s="23">
        <f t="shared" si="13"/>
        <v>6.8672559849120027</v>
      </c>
      <c r="FA26" s="23">
        <f t="shared" si="13"/>
        <v>6.7985834250628825</v>
      </c>
      <c r="FB26" s="23">
        <f t="shared" si="13"/>
        <v>6.7305975908122537</v>
      </c>
      <c r="FC26" s="23">
        <f t="shared" si="13"/>
        <v>6.6632916149041312</v>
      </c>
      <c r="FD26" s="23">
        <f t="shared" si="13"/>
        <v>6.5966586987550899</v>
      </c>
      <c r="FE26" s="23">
        <f t="shared" si="13"/>
        <v>6.5306921117675394</v>
      </c>
      <c r="FF26" s="23">
        <f t="shared" si="13"/>
        <v>6.4653851906498643</v>
      </c>
      <c r="FG26" s="23">
        <f t="shared" si="13"/>
        <v>6.4007313387433653</v>
      </c>
      <c r="FH26" s="23">
        <f t="shared" si="13"/>
        <v>6.3367240253559327</v>
      </c>
      <c r="FI26" s="23">
        <f t="shared" si="13"/>
        <v>6.2733567851023722</v>
      </c>
      <c r="FJ26" s="23">
        <f t="shared" si="13"/>
        <v>6.2106232172513476</v>
      </c>
      <c r="FK26" s="23">
        <f t="shared" si="13"/>
        <v>6.1485169850788344</v>
      </c>
      <c r="FL26" s="23">
        <f t="shared" si="13"/>
        <v>6.0870318152280456</v>
      </c>
      <c r="FM26" s="23">
        <f t="shared" si="13"/>
        <v>6.0261614970757655</v>
      </c>
      <c r="FN26" s="23">
        <f t="shared" si="13"/>
        <v>5.965899882105008</v>
      </c>
      <c r="FO26" s="23">
        <f t="shared" si="13"/>
        <v>5.9062408832839584</v>
      </c>
      <c r="FP26" s="23">
        <f t="shared" si="13"/>
        <v>5.8471784744511188</v>
      </c>
      <c r="FQ26" s="23">
        <f t="shared" si="13"/>
        <v>5.7887066897066077</v>
      </c>
      <c r="FR26" s="23">
        <f t="shared" si="13"/>
        <v>5.7308196228095412</v>
      </c>
      <c r="FS26" s="23">
        <f t="shared" si="13"/>
        <v>5.6735114265814461</v>
      </c>
      <c r="FT26" s="23">
        <f t="shared" si="13"/>
        <v>5.6167763123156318</v>
      </c>
      <c r="FU26" s="23">
        <f t="shared" si="13"/>
        <v>5.5606085491924748</v>
      </c>
      <c r="FV26" s="23">
        <f t="shared" si="13"/>
        <v>5.5050024637005501</v>
      </c>
      <c r="FW26" s="23">
        <f t="shared" si="13"/>
        <v>5.4499524390635443</v>
      </c>
      <c r="FX26" s="23">
        <f t="shared" si="13"/>
        <v>5.3954529146729087</v>
      </c>
      <c r="FY26" s="23">
        <f t="shared" si="13"/>
        <v>5.3414983855261795</v>
      </c>
      <c r="FZ26" s="23">
        <f t="shared" si="13"/>
        <v>5.2880834016709173</v>
      </c>
      <c r="GA26" s="23">
        <f t="shared" si="13"/>
        <v>5.2352025676542082</v>
      </c>
      <c r="GB26" s="23">
        <f t="shared" si="13"/>
        <v>5.1828505419776656</v>
      </c>
      <c r="GC26" s="23">
        <f t="shared" si="13"/>
        <v>5.1310220365578889</v>
      </c>
      <c r="GD26" s="23">
        <f t="shared" si="13"/>
        <v>5.0797118161923107</v>
      </c>
      <c r="GE26" s="23">
        <f t="shared" si="13"/>
        <v>5.0289146980303876</v>
      </c>
      <c r="GF26" s="23">
        <f t="shared" si="13"/>
        <v>4.9786255510500839</v>
      </c>
      <c r="GG26" s="23">
        <f t="shared" si="13"/>
        <v>4.928839295539583</v>
      </c>
      <c r="GH26" s="23">
        <f t="shared" si="13"/>
        <v>4.879550902584187</v>
      </c>
      <c r="GI26" s="23">
        <f t="shared" si="13"/>
        <v>4.8307553935583449</v>
      </c>
      <c r="GJ26" s="23">
        <f t="shared" si="13"/>
        <v>4.7824478396227619</v>
      </c>
      <c r="GK26" s="23">
        <f t="shared" si="13"/>
        <v>4.734623361226534</v>
      </c>
      <c r="GL26" s="23">
        <f t="shared" si="13"/>
        <v>4.6872771276142675</v>
      </c>
      <c r="GM26" s="23">
        <f t="shared" si="13"/>
        <v>4.6404043563381254</v>
      </c>
      <c r="GN26" s="23">
        <f t="shared" si="13"/>
        <v>4.5940003127747442</v>
      </c>
      <c r="GO26" s="23">
        <f t="shared" si="13"/>
        <v>4.5480603096469974</v>
      </c>
      <c r="GP26" s="23">
        <f t="shared" ref="GP26:JA26" si="14">IF(GP24*$C$8+GP25+$C$9/12&gt;5,GP24*$C$8+GP25,5)</f>
        <v>4.5025797065505273</v>
      </c>
      <c r="GQ26" s="23">
        <f t="shared" si="14"/>
        <v>4.4575539094850223</v>
      </c>
      <c r="GR26" s="23">
        <f t="shared" si="14"/>
        <v>4.4129783703901717</v>
      </c>
      <c r="GS26" s="23">
        <f t="shared" si="14"/>
        <v>4.3688485866862701</v>
      </c>
      <c r="GT26" s="23">
        <f t="shared" si="14"/>
        <v>4.3251601008194065</v>
      </c>
      <c r="GU26" s="23">
        <f t="shared" si="14"/>
        <v>4.2819084998112125</v>
      </c>
      <c r="GV26" s="23">
        <f t="shared" si="14"/>
        <v>4.2390894148131002</v>
      </c>
      <c r="GW26" s="23">
        <f t="shared" si="14"/>
        <v>4.1966985206649685</v>
      </c>
      <c r="GX26" s="23">
        <f t="shared" si="14"/>
        <v>4.1547315354583194</v>
      </c>
      <c r="GY26" s="23">
        <f t="shared" si="14"/>
        <v>4.1131842201037356</v>
      </c>
      <c r="GZ26" s="23">
        <f t="shared" si="14"/>
        <v>4.0720523779026987</v>
      </c>
      <c r="HA26" s="23">
        <f t="shared" si="14"/>
        <v>4.0313318541236711</v>
      </c>
      <c r="HB26" s="23">
        <f t="shared" si="14"/>
        <v>3.9910185355824348</v>
      </c>
      <c r="HC26" s="23">
        <f t="shared" si="14"/>
        <v>3.9511083502266109</v>
      </c>
      <c r="HD26" s="23">
        <f t="shared" si="14"/>
        <v>3.9115972667243444</v>
      </c>
      <c r="HE26" s="23">
        <f t="shared" si="14"/>
        <v>3.872481294057101</v>
      </c>
      <c r="HF26" s="23">
        <f t="shared" si="14"/>
        <v>3.8337564811165299</v>
      </c>
      <c r="HG26" s="23">
        <f t="shared" si="14"/>
        <v>3.7954189163053647</v>
      </c>
      <c r="HH26" s="23">
        <f t="shared" si="14"/>
        <v>3.7574647271423114</v>
      </c>
      <c r="HI26" s="23">
        <f t="shared" si="14"/>
        <v>3.7198900798708885</v>
      </c>
      <c r="HJ26" s="23">
        <f t="shared" si="14"/>
        <v>3.6826911790721795</v>
      </c>
      <c r="HK26" s="23">
        <f t="shared" si="14"/>
        <v>3.645864267281457</v>
      </c>
      <c r="HL26" s="23">
        <f t="shared" si="14"/>
        <v>3.6094056246086428</v>
      </c>
      <c r="HM26" s="23">
        <f t="shared" si="14"/>
        <v>3.573311568362556</v>
      </c>
      <c r="HN26" s="23">
        <f t="shared" si="14"/>
        <v>3.5375784526789307</v>
      </c>
      <c r="HO26" s="23">
        <f t="shared" si="14"/>
        <v>3.5022026681521412</v>
      </c>
      <c r="HP26" s="23">
        <f t="shared" si="14"/>
        <v>3.4671806414706197</v>
      </c>
      <c r="HQ26" s="23">
        <f t="shared" si="14"/>
        <v>3.4325088350559141</v>
      </c>
      <c r="HR26" s="23">
        <f t="shared" si="14"/>
        <v>3.3981837467053548</v>
      </c>
      <c r="HS26" s="23">
        <f t="shared" si="14"/>
        <v>3.3642019092383011</v>
      </c>
      <c r="HT26" s="23">
        <f t="shared" si="14"/>
        <v>3.3305598901459184</v>
      </c>
      <c r="HU26" s="23">
        <f t="shared" si="14"/>
        <v>3.2972542912444593</v>
      </c>
      <c r="HV26" s="23">
        <f t="shared" si="14"/>
        <v>3.2642817483320141</v>
      </c>
      <c r="HW26" s="23">
        <f t="shared" si="14"/>
        <v>3.2316389308486935</v>
      </c>
      <c r="HX26" s="23">
        <f t="shared" si="14"/>
        <v>3.1993225415402069</v>
      </c>
      <c r="HY26" s="23">
        <f t="shared" si="14"/>
        <v>3.1673293161248051</v>
      </c>
      <c r="HZ26" s="23">
        <f t="shared" si="14"/>
        <v>3.1356560229635573</v>
      </c>
      <c r="IA26" s="23">
        <f t="shared" si="14"/>
        <v>3.1042994627339211</v>
      </c>
      <c r="IB26" s="23">
        <f t="shared" si="14"/>
        <v>3.0732564681065822</v>
      </c>
      <c r="IC26" s="23">
        <f t="shared" si="14"/>
        <v>3.0425239034255167</v>
      </c>
      <c r="ID26" s="23">
        <f t="shared" si="14"/>
        <v>3.0120986643912611</v>
      </c>
      <c r="IE26" s="23">
        <f t="shared" si="14"/>
        <v>5</v>
      </c>
      <c r="IF26" s="23">
        <f t="shared" si="14"/>
        <v>5</v>
      </c>
      <c r="IG26" s="23">
        <f t="shared" si="14"/>
        <v>5</v>
      </c>
      <c r="IH26" s="23">
        <f t="shared" si="14"/>
        <v>5</v>
      </c>
      <c r="II26" s="23">
        <f t="shared" si="14"/>
        <v>5</v>
      </c>
      <c r="IJ26" s="23">
        <f t="shared" si="14"/>
        <v>5</v>
      </c>
      <c r="IK26" s="23">
        <f t="shared" si="14"/>
        <v>5</v>
      </c>
      <c r="IL26" s="23">
        <f t="shared" si="14"/>
        <v>5</v>
      </c>
      <c r="IM26" s="23">
        <f t="shared" si="14"/>
        <v>5</v>
      </c>
      <c r="IN26" s="23">
        <f t="shared" si="14"/>
        <v>5</v>
      </c>
      <c r="IO26" s="23">
        <f t="shared" si="14"/>
        <v>5</v>
      </c>
      <c r="IP26" s="23">
        <f t="shared" si="14"/>
        <v>5</v>
      </c>
      <c r="IQ26" s="23">
        <f t="shared" si="14"/>
        <v>5</v>
      </c>
      <c r="IR26" s="23">
        <f t="shared" si="14"/>
        <v>5</v>
      </c>
      <c r="IS26" s="23">
        <f t="shared" si="14"/>
        <v>5</v>
      </c>
      <c r="IT26" s="23">
        <f t="shared" si="14"/>
        <v>5</v>
      </c>
      <c r="IU26" s="23">
        <f t="shared" si="14"/>
        <v>5</v>
      </c>
      <c r="IV26" s="23">
        <f t="shared" si="14"/>
        <v>5</v>
      </c>
      <c r="IW26" s="23">
        <f t="shared" si="14"/>
        <v>5</v>
      </c>
      <c r="IX26" s="23">
        <f t="shared" si="14"/>
        <v>5</v>
      </c>
      <c r="IY26" s="23">
        <f t="shared" si="14"/>
        <v>5</v>
      </c>
      <c r="IZ26" s="23">
        <f t="shared" si="14"/>
        <v>5</v>
      </c>
      <c r="JA26" s="23">
        <f t="shared" si="14"/>
        <v>5</v>
      </c>
      <c r="JB26" s="23">
        <f t="shared" ref="JB26:JF26" si="15">IF(JB24*$C$8+JB25+$C$9/12&gt;5,JB24*$C$8+JB25,5)</f>
        <v>5</v>
      </c>
      <c r="JC26" s="23">
        <f t="shared" si="15"/>
        <v>5</v>
      </c>
      <c r="JD26" s="23">
        <f t="shared" si="15"/>
        <v>5</v>
      </c>
      <c r="JE26" s="23">
        <f t="shared" si="15"/>
        <v>5</v>
      </c>
      <c r="JF26" s="23">
        <f t="shared" si="15"/>
        <v>5</v>
      </c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</row>
    <row r="27" spans="2:333" x14ac:dyDescent="0.2">
      <c r="B27" s="19" t="s">
        <v>78</v>
      </c>
      <c r="C27" s="23">
        <f>JG25</f>
        <v>1982.1883380661852</v>
      </c>
    </row>
    <row r="28" spans="2:333" x14ac:dyDescent="0.2">
      <c r="B28" s="29" t="s">
        <v>79</v>
      </c>
      <c r="C28" s="28">
        <f>C24+C27</f>
        <v>2982.1883380661852</v>
      </c>
    </row>
    <row r="29" spans="2:333" x14ac:dyDescent="0.2">
      <c r="D29" s="23"/>
    </row>
    <row r="30" spans="2:333" x14ac:dyDescent="0.2">
      <c r="B30" t="s">
        <v>73</v>
      </c>
      <c r="C30" s="23">
        <f>C4</f>
        <v>1000</v>
      </c>
      <c r="D30" s="23">
        <f>(C24*(1+$C$10))</f>
        <v>1030</v>
      </c>
      <c r="E30" s="23">
        <f>D30-D32</f>
        <v>942.16666666666663</v>
      </c>
      <c r="F30" s="23">
        <f t="shared" ref="F30:P30" si="16">E30-E32</f>
        <v>854.33333333333326</v>
      </c>
      <c r="G30" s="23">
        <f t="shared" si="16"/>
        <v>766.49999999999989</v>
      </c>
      <c r="H30" s="23">
        <f t="shared" si="16"/>
        <v>678.66666666666652</v>
      </c>
      <c r="I30" s="23">
        <f t="shared" si="16"/>
        <v>590.83333333333314</v>
      </c>
      <c r="J30" s="23">
        <f t="shared" si="16"/>
        <v>502.99999999999983</v>
      </c>
      <c r="K30" s="23">
        <f t="shared" si="16"/>
        <v>415.16666666666652</v>
      </c>
      <c r="L30" s="23">
        <f t="shared" si="16"/>
        <v>327.3333333333332</v>
      </c>
      <c r="M30" s="23">
        <f t="shared" si="16"/>
        <v>239.49999999999989</v>
      </c>
      <c r="N30" s="23">
        <f t="shared" si="16"/>
        <v>151.66666666666657</v>
      </c>
      <c r="O30" s="23">
        <f t="shared" si="16"/>
        <v>63.833333333333243</v>
      </c>
      <c r="P30" s="23">
        <f t="shared" si="16"/>
        <v>-24.000000000000085</v>
      </c>
      <c r="Q30" s="23"/>
    </row>
    <row r="31" spans="2:333" x14ac:dyDescent="0.2">
      <c r="B31" t="s">
        <v>81</v>
      </c>
      <c r="D31" s="23">
        <f>D30*$E$7</f>
        <v>21.339794762206719</v>
      </c>
      <c r="E31" s="23">
        <f>E30*$E$7</f>
        <v>19.520042037338929</v>
      </c>
      <c r="F31" s="23">
        <f t="shared" ref="F31:P31" si="17">F30*$E$7</f>
        <v>17.700289312471138</v>
      </c>
      <c r="G31" s="23">
        <f t="shared" si="17"/>
        <v>15.880536587603347</v>
      </c>
      <c r="H31" s="23">
        <f t="shared" si="17"/>
        <v>14.060783862735557</v>
      </c>
      <c r="I31" s="23">
        <f t="shared" si="17"/>
        <v>12.241031137867767</v>
      </c>
      <c r="J31" s="23">
        <f t="shared" si="17"/>
        <v>10.421278412999976</v>
      </c>
      <c r="K31" s="23">
        <f t="shared" si="17"/>
        <v>8.6015256881321864</v>
      </c>
      <c r="L31" s="23">
        <f t="shared" si="17"/>
        <v>6.7817729632643982</v>
      </c>
      <c r="M31" s="23">
        <f t="shared" si="17"/>
        <v>4.9620202383966081</v>
      </c>
      <c r="N31" s="23">
        <f t="shared" si="17"/>
        <v>3.1422675135288189</v>
      </c>
      <c r="O31" s="23">
        <f t="shared" si="17"/>
        <v>1.3225147886610293</v>
      </c>
      <c r="P31" s="23">
        <f t="shared" si="17"/>
        <v>-0.49723793620676027</v>
      </c>
      <c r="Q31" s="23">
        <f>SUM(D31:P31)</f>
        <v>135.47661936899974</v>
      </c>
    </row>
    <row r="32" spans="2:333" x14ac:dyDescent="0.2">
      <c r="B32" s="21" t="s">
        <v>82</v>
      </c>
      <c r="D32" s="23">
        <f>D30/12+$C$9/12</f>
        <v>87.833333333333329</v>
      </c>
      <c r="E32" s="23">
        <f>IF(E30&lt;=0,0,D32)</f>
        <v>87.833333333333329</v>
      </c>
      <c r="F32" s="23">
        <f t="shared" ref="F32:P32" si="18">IF(F30&lt;=0,0,E32)</f>
        <v>87.833333333333329</v>
      </c>
      <c r="G32" s="23">
        <f t="shared" si="18"/>
        <v>87.833333333333329</v>
      </c>
      <c r="H32" s="23">
        <f t="shared" si="18"/>
        <v>87.833333333333329</v>
      </c>
      <c r="I32" s="23">
        <f t="shared" si="18"/>
        <v>87.833333333333329</v>
      </c>
      <c r="J32" s="23">
        <f t="shared" si="18"/>
        <v>87.833333333333329</v>
      </c>
      <c r="K32" s="23">
        <f t="shared" si="18"/>
        <v>87.833333333333329</v>
      </c>
      <c r="L32" s="23">
        <f t="shared" si="18"/>
        <v>87.833333333333329</v>
      </c>
      <c r="M32" s="23">
        <f t="shared" si="18"/>
        <v>87.833333333333329</v>
      </c>
      <c r="N32" s="23">
        <f t="shared" si="18"/>
        <v>87.833333333333329</v>
      </c>
      <c r="O32" s="23">
        <f t="shared" si="18"/>
        <v>87.833333333333329</v>
      </c>
      <c r="P32" s="23">
        <f t="shared" si="18"/>
        <v>0</v>
      </c>
      <c r="Q32" s="23"/>
    </row>
    <row r="33" spans="2:3" x14ac:dyDescent="0.2">
      <c r="B33" s="19" t="s">
        <v>78</v>
      </c>
      <c r="C33" s="23">
        <f>Q31</f>
        <v>135.47661936899974</v>
      </c>
    </row>
    <row r="34" spans="2:3" x14ac:dyDescent="0.2">
      <c r="B34" s="29" t="s">
        <v>79</v>
      </c>
      <c r="C34" s="28">
        <f>C30+C33</f>
        <v>1135.4766193689998</v>
      </c>
    </row>
    <row r="36" spans="2:3" x14ac:dyDescent="0.2">
      <c r="B36" t="s">
        <v>74</v>
      </c>
    </row>
  </sheetData>
  <sheetProtection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W28"/>
  <sheetViews>
    <sheetView zoomScale="150" zoomScaleNormal="150" zoomScalePageLayoutView="150" workbookViewId="0">
      <selection activeCell="C9" sqref="C9"/>
    </sheetView>
  </sheetViews>
  <sheetFormatPr defaultColWidth="11" defaultRowHeight="12.75" x14ac:dyDescent="0.2"/>
  <cols>
    <col min="2" max="2" width="22.25" customWidth="1"/>
    <col min="3" max="3" width="11" customWidth="1"/>
  </cols>
  <sheetData>
    <row r="3" spans="2:3" x14ac:dyDescent="0.2">
      <c r="B3" s="3" t="s">
        <v>88</v>
      </c>
    </row>
    <row r="5" spans="2:3" x14ac:dyDescent="0.2">
      <c r="B5" t="s">
        <v>89</v>
      </c>
      <c r="C5" s="44">
        <v>1000</v>
      </c>
    </row>
    <row r="6" spans="2:3" x14ac:dyDescent="0.2">
      <c r="B6" t="s">
        <v>90</v>
      </c>
      <c r="C6" s="40">
        <v>0.05</v>
      </c>
    </row>
    <row r="7" spans="2:3" x14ac:dyDescent="0.2">
      <c r="B7" t="s">
        <v>91</v>
      </c>
      <c r="C7" s="41">
        <v>10</v>
      </c>
    </row>
    <row r="8" spans="2:3" x14ac:dyDescent="0.2">
      <c r="B8" t="s">
        <v>92</v>
      </c>
      <c r="C8" s="41">
        <v>0</v>
      </c>
    </row>
    <row r="9" spans="2:3" x14ac:dyDescent="0.2">
      <c r="B9" t="s">
        <v>93</v>
      </c>
      <c r="C9" s="41" t="s">
        <v>132</v>
      </c>
    </row>
    <row r="11" spans="2:3" x14ac:dyDescent="0.2">
      <c r="B11" t="s">
        <v>94</v>
      </c>
    </row>
    <row r="12" spans="2:3" x14ac:dyDescent="0.2">
      <c r="B12" t="s">
        <v>100</v>
      </c>
    </row>
    <row r="21" spans="2:23" x14ac:dyDescent="0.2">
      <c r="C21">
        <v>0</v>
      </c>
      <c r="D21">
        <v>1</v>
      </c>
      <c r="E21">
        <v>2</v>
      </c>
      <c r="F21">
        <v>3</v>
      </c>
      <c r="G21">
        <v>4</v>
      </c>
      <c r="H21">
        <v>5</v>
      </c>
      <c r="I21">
        <v>6</v>
      </c>
      <c r="J21">
        <v>7</v>
      </c>
      <c r="K21">
        <v>8</v>
      </c>
      <c r="L21">
        <v>9</v>
      </c>
      <c r="M21">
        <v>10</v>
      </c>
      <c r="N21">
        <v>11</v>
      </c>
      <c r="O21">
        <v>12</v>
      </c>
      <c r="P21">
        <v>13</v>
      </c>
      <c r="Q21">
        <v>14</v>
      </c>
      <c r="R21">
        <v>15</v>
      </c>
    </row>
    <row r="22" spans="2:23" x14ac:dyDescent="0.2">
      <c r="B22" t="s">
        <v>96</v>
      </c>
      <c r="C22" s="30">
        <f>C5</f>
        <v>1000</v>
      </c>
    </row>
    <row r="23" spans="2:23" x14ac:dyDescent="0.2">
      <c r="B23" t="s">
        <v>101</v>
      </c>
      <c r="D23" s="30">
        <f>IF($C$9="yes",IF(C21&lt;$C$8,$C$22*(1+$C$6)^D21-$C$22,0),0)</f>
        <v>0</v>
      </c>
      <c r="E23" s="30">
        <f t="shared" ref="E23:R23" si="0">IF($C$9="yes",IF(D21&lt;$C$8,D24*$C$6,0),0)</f>
        <v>0</v>
      </c>
      <c r="F23" s="30">
        <f t="shared" si="0"/>
        <v>0</v>
      </c>
      <c r="G23" s="30">
        <f t="shared" si="0"/>
        <v>0</v>
      </c>
      <c r="H23" s="30">
        <f t="shared" si="0"/>
        <v>0</v>
      </c>
      <c r="I23" s="30">
        <f t="shared" si="0"/>
        <v>0</v>
      </c>
      <c r="J23" s="30">
        <f t="shared" si="0"/>
        <v>0</v>
      </c>
      <c r="K23" s="30">
        <f t="shared" si="0"/>
        <v>0</v>
      </c>
      <c r="L23" s="30">
        <f t="shared" si="0"/>
        <v>0</v>
      </c>
      <c r="M23" s="30">
        <f t="shared" si="0"/>
        <v>0</v>
      </c>
      <c r="N23" s="30">
        <f t="shared" si="0"/>
        <v>0</v>
      </c>
      <c r="O23" s="30">
        <f t="shared" si="0"/>
        <v>0</v>
      </c>
      <c r="P23" s="30">
        <f t="shared" si="0"/>
        <v>0</v>
      </c>
      <c r="Q23" s="30">
        <f t="shared" si="0"/>
        <v>0</v>
      </c>
      <c r="R23" s="30">
        <f t="shared" si="0"/>
        <v>0</v>
      </c>
      <c r="S23" s="30"/>
      <c r="T23" s="30">
        <f t="shared" ref="T23" si="1">SUM(D23:S23)</f>
        <v>0</v>
      </c>
    </row>
    <row r="24" spans="2:23" x14ac:dyDescent="0.2">
      <c r="B24" t="s">
        <v>95</v>
      </c>
      <c r="D24" s="30">
        <f>$C$22+D23-C25</f>
        <v>1000</v>
      </c>
      <c r="E24" s="30">
        <f>D24+E23-D25</f>
        <v>900</v>
      </c>
      <c r="F24" s="30">
        <f t="shared" ref="F24:R24" si="2">E24+F23-E25</f>
        <v>800</v>
      </c>
      <c r="G24" s="30">
        <f t="shared" si="2"/>
        <v>700</v>
      </c>
      <c r="H24" s="30">
        <f t="shared" si="2"/>
        <v>600</v>
      </c>
      <c r="I24" s="30">
        <f t="shared" si="2"/>
        <v>500</v>
      </c>
      <c r="J24" s="30">
        <f t="shared" si="2"/>
        <v>400</v>
      </c>
      <c r="K24" s="30">
        <f t="shared" si="2"/>
        <v>300</v>
      </c>
      <c r="L24" s="30">
        <f t="shared" si="2"/>
        <v>200</v>
      </c>
      <c r="M24" s="30">
        <f t="shared" si="2"/>
        <v>100</v>
      </c>
      <c r="N24" s="30">
        <f t="shared" si="2"/>
        <v>0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0</v>
      </c>
      <c r="S24" s="30"/>
      <c r="T24" s="30"/>
    </row>
    <row r="25" spans="2:23" x14ac:dyDescent="0.2">
      <c r="B25" t="s">
        <v>97</v>
      </c>
      <c r="D25" s="30">
        <f>IF(D21&gt;$C$7,0,IF(D21&lt;=$C$8,0,($C$22+SUM($D$23:D23))/($C$7-$C$8)))</f>
        <v>100</v>
      </c>
      <c r="E25" s="30">
        <f>IF(E21&gt;$C$7,0,IF(E21&lt;=$C$8,0,($C$22+SUM($D$23:E23))/($C$7-$C$8)))</f>
        <v>100</v>
      </c>
      <c r="F25" s="30">
        <f>IF(F21&gt;$C$7,0,IF(F21&lt;=$C$8,0,($C$22+SUM($D$23:F23))/($C$7-$C$8)))</f>
        <v>100</v>
      </c>
      <c r="G25" s="30">
        <f>IF(G21&gt;$C$7,0,IF(G21&lt;=$C$8,0,($C$22+SUM($D$23:G23))/($C$7-$C$8)))</f>
        <v>100</v>
      </c>
      <c r="H25" s="30">
        <f>IF(H21&gt;$C$7,0,IF(H21&lt;=$C$8,0,($C$22+SUM($D$23:H23))/($C$7-$C$8)))</f>
        <v>100</v>
      </c>
      <c r="I25" s="30">
        <f>IF(I21&gt;$C$7,0,IF(I21&lt;=$C$8,0,($C$22+SUM($D$23:I23))/($C$7-$C$8)))</f>
        <v>100</v>
      </c>
      <c r="J25" s="30">
        <f>IF(J21&gt;$C$7,0,IF(J21&lt;=$C$8,0,($C$22+SUM($D$23:J23))/($C$7-$C$8)))</f>
        <v>100</v>
      </c>
      <c r="K25" s="30">
        <f>IF(K21&gt;$C$7,0,IF(K21&lt;=$C$8,0,($C$22+SUM($D$23:K23))/($C$7-$C$8)))</f>
        <v>100</v>
      </c>
      <c r="L25" s="30">
        <f>IF(L21&gt;$C$7,0,IF(L21&lt;=$C$8,0,($C$22+SUM($D$23:L23))/($C$7-$C$8)))</f>
        <v>100</v>
      </c>
      <c r="M25" s="30">
        <f>IF(M21&gt;$C$7,0,IF(M21&lt;=$C$8,0,($C$22+SUM($D$23:M23))/($C$7-$C$8)))</f>
        <v>100</v>
      </c>
      <c r="N25" s="30">
        <f>IF(N21&gt;$C$7,0,IF(N21&lt;=$C$8,0,($C$22+SUM($D$23:N23))/($C$7-$C$8)))</f>
        <v>0</v>
      </c>
      <c r="O25" s="30">
        <f>IF(O21&gt;$C$7,0,IF(O21&lt;=$C$8,0,($C$22+SUM($D$23:O23))/($C$7-$C$8)))</f>
        <v>0</v>
      </c>
      <c r="P25" s="30">
        <f>IF(P21&gt;$C$7,0,IF(P21&lt;=$C$8,0,($C$22+SUM($D$23:P23))/($C$7-$C$8)))</f>
        <v>0</v>
      </c>
      <c r="Q25" s="30">
        <f>IF(Q21&gt;$C$7,0,IF(Q21&lt;=$C$8,0,($C$22+SUM($D$23:Q23))/($C$7-$C$8)))</f>
        <v>0</v>
      </c>
      <c r="R25" s="30">
        <f>IF(R21&gt;$C$7,0,IF(R21&lt;=$C$8,0,($C$22+SUM($D$23:R23))/($C$7-$C$8)))</f>
        <v>0</v>
      </c>
      <c r="S25" s="30"/>
      <c r="T25" s="30">
        <f>SUM(D25:S25)</f>
        <v>1000</v>
      </c>
      <c r="U25" s="30"/>
      <c r="V25" s="30"/>
      <c r="W25" s="30"/>
    </row>
    <row r="26" spans="2:23" x14ac:dyDescent="0.2">
      <c r="B26" t="s">
        <v>98</v>
      </c>
      <c r="D26" s="30">
        <f t="shared" ref="D26:R26" si="3">IF(D21&lt;=$C$8,IF($C$9="yes",0,D24*$C$6),D24*$C$6)</f>
        <v>50</v>
      </c>
      <c r="E26" s="30">
        <f t="shared" si="3"/>
        <v>45</v>
      </c>
      <c r="F26" s="30">
        <f t="shared" si="3"/>
        <v>40</v>
      </c>
      <c r="G26" s="30">
        <f t="shared" si="3"/>
        <v>35</v>
      </c>
      <c r="H26" s="30">
        <f t="shared" si="3"/>
        <v>30</v>
      </c>
      <c r="I26" s="30">
        <f t="shared" si="3"/>
        <v>25</v>
      </c>
      <c r="J26" s="30">
        <f t="shared" si="3"/>
        <v>20</v>
      </c>
      <c r="K26" s="30">
        <f t="shared" si="3"/>
        <v>15</v>
      </c>
      <c r="L26" s="30">
        <f t="shared" si="3"/>
        <v>10</v>
      </c>
      <c r="M26" s="30">
        <f t="shared" si="3"/>
        <v>5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</v>
      </c>
      <c r="S26" s="30"/>
      <c r="T26" s="30">
        <f>SUM(D26:S26)</f>
        <v>275</v>
      </c>
    </row>
    <row r="28" spans="2:23" x14ac:dyDescent="0.2">
      <c r="B28" t="s">
        <v>99</v>
      </c>
      <c r="D28" s="30">
        <f>T26+T23</f>
        <v>275</v>
      </c>
    </row>
  </sheetData>
  <sheetProtection sheet="1" objects="1" scenarios="1" selectLockedCell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nominal</vt:lpstr>
      <vt:lpstr>APR</vt:lpstr>
      <vt:lpstr>compound</vt:lpstr>
      <vt:lpstr>discount</vt:lpstr>
      <vt:lpstr>mortgage</vt:lpstr>
      <vt:lpstr>all</vt:lpstr>
      <vt:lpstr>payday</vt:lpstr>
      <vt:lpstr>credit card</vt:lpstr>
      <vt:lpstr>Self amortising</vt:lpstr>
      <vt:lpstr>equity returns</vt:lpstr>
      <vt:lpstr>interest only</vt:lpstr>
    </vt:vector>
  </TitlesOfParts>
  <Manager/>
  <Company>Renaissance Finance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Deltcho Vitchev</dc:creator>
  <cp:keywords/>
  <dc:description/>
  <cp:lastModifiedBy>Del Vitchev</cp:lastModifiedBy>
  <dcterms:created xsi:type="dcterms:W3CDTF">2011-01-24T12:33:57Z</dcterms:created>
  <dcterms:modified xsi:type="dcterms:W3CDTF">2023-11-09T16:49:53Z</dcterms:modified>
  <cp:category/>
</cp:coreProperties>
</file>